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Вся инфа\Государственные задания\Гос.задание  2022\#194 от 30092022\"/>
    </mc:Choice>
  </mc:AlternateContent>
  <bookViews>
    <workbookView xWindow="0" yWindow="0" windowWidth="28800" windowHeight="12345" tabRatio="792" firstSheet="1" activeTab="2"/>
  </bookViews>
  <sheets>
    <sheet name="Приложение №2 кап.рем" sheetId="5" r:id="rId1"/>
    <sheet name="Приложение №3 Освещение  " sheetId="25" r:id="rId2"/>
    <sheet name="Приложение №4 дороги (проч)" sheetId="22" r:id="rId3"/>
    <sheet name="Приложение №5 дороги (рег п)" sheetId="27" r:id="rId4"/>
    <sheet name="Приложение №6 мосты" sheetId="4" r:id="rId5"/>
    <sheet name="Приложение №7 содержание  " sheetId="28" r:id="rId6"/>
    <sheet name="Приложение №8 содержание" sheetId="20" r:id="rId7"/>
    <sheet name="Свод" sheetId="10" state="hidden" r:id="rId8"/>
  </sheets>
  <externalReferences>
    <externalReference r:id="rId9"/>
  </externalReferences>
  <definedNames>
    <definedName name="_Hlk474837869" localSheetId="0">'Приложение №2 кап.рем'!#REF!</definedName>
    <definedName name="_Hlk474837869" localSheetId="2">'Приложение №4 дороги (проч)'!#REF!</definedName>
    <definedName name="_Hlk474837869" localSheetId="3">'Приложение №5 дороги (рег п)'!#REF!</definedName>
    <definedName name="_Hlk474837869" localSheetId="4">'Приложение №6 мосты'!#REF!</definedName>
    <definedName name="_Hlk474840796" localSheetId="0">'Приложение №2 кап.рем'!#REF!</definedName>
    <definedName name="_Hlk474840796" localSheetId="2">'Приложение №4 дороги (проч)'!#REF!</definedName>
    <definedName name="_Hlk474840796" localSheetId="3">'Приложение №5 дороги (рег п)'!#REF!</definedName>
    <definedName name="_Hlk474840796" localSheetId="4">'Приложение №6 мосты'!#REF!</definedName>
    <definedName name="_Hlk474841476" localSheetId="0">'Приложение №2 кап.рем'!#REF!</definedName>
    <definedName name="_Hlk474841476" localSheetId="2">'Приложение №4 дороги (проч)'!#REF!</definedName>
    <definedName name="_Hlk474841476" localSheetId="3">'Приложение №5 дороги (рег п)'!#REF!</definedName>
    <definedName name="_Hlk474841476" localSheetId="4">'Приложение №6 мосты'!#REF!</definedName>
    <definedName name="_Hlk474841839" localSheetId="0">'Приложение №2 кап.рем'!#REF!</definedName>
    <definedName name="_Hlk474841839" localSheetId="2">'Приложение №4 дороги (проч)'!#REF!</definedName>
    <definedName name="_Hlk474841839" localSheetId="3">'Приложение №5 дороги (рег п)'!#REF!</definedName>
    <definedName name="_Hlk474841839" localSheetId="4">'Приложение №6 мосты'!#REF!</definedName>
    <definedName name="_Hlk474842342" localSheetId="0">'Приложение №2 кап.рем'!#REF!</definedName>
    <definedName name="_Hlk474842342" localSheetId="2">'Приложение №4 дороги (проч)'!#REF!</definedName>
    <definedName name="_Hlk474842342" localSheetId="3">'Приложение №5 дороги (рег п)'!#REF!</definedName>
    <definedName name="_Hlk474842342" localSheetId="4">'Приложение №6 мосты'!#REF!</definedName>
    <definedName name="_Hlk474842479" localSheetId="0">'Приложение №2 кап.рем'!#REF!</definedName>
    <definedName name="_Hlk474842479" localSheetId="2">'Приложение №4 дороги (проч)'!#REF!</definedName>
    <definedName name="_Hlk474842479" localSheetId="3">'Приложение №5 дороги (рег п)'!#REF!</definedName>
    <definedName name="_Hlk474842479" localSheetId="4">'Приложение №6 мосты'!#REF!</definedName>
    <definedName name="_Hlk499220623" localSheetId="0">'Приложение №2 кап.рем'!#REF!</definedName>
    <definedName name="_Hlk499220623" localSheetId="2">'Приложение №4 дороги (проч)'!#REF!</definedName>
    <definedName name="_Hlk499220623" localSheetId="3">'Приложение №5 дороги (рег п)'!$A$16</definedName>
    <definedName name="_Hlk499220623" localSheetId="4">'Приложение №6 мосты'!#REF!</definedName>
    <definedName name="OLE_LINK117" localSheetId="2">'Приложение №4 дороги (проч)'!#REF!</definedName>
    <definedName name="OLE_LINK117" localSheetId="3">'Приложение №5 дороги (рег п)'!#REF!</definedName>
    <definedName name="OLE_LINK118" localSheetId="2">'Приложение №4 дороги (проч)'!#REF!</definedName>
    <definedName name="OLE_LINK118" localSheetId="3">'Приложение №5 дороги (рег п)'!#REF!</definedName>
    <definedName name="OLE_LINK123" localSheetId="0">'Приложение №2 кап.рем'!#REF!</definedName>
    <definedName name="OLE_LINK123" localSheetId="2">'Приложение №4 дороги (проч)'!$A$11</definedName>
    <definedName name="OLE_LINK123" localSheetId="3">'Приложение №5 дороги (рег п)'!#REF!</definedName>
    <definedName name="OLE_LINK123" localSheetId="4">'Приложение №6 мосты'!#REF!</definedName>
    <definedName name="OLE_LINK20" localSheetId="0">'Приложение №2 кап.рем'!#REF!</definedName>
    <definedName name="OLE_LINK20" localSheetId="2">'Приложение №4 дороги (проч)'!$A$9</definedName>
    <definedName name="OLE_LINK20" localSheetId="3">'Приложение №5 дороги (рег п)'!#REF!</definedName>
    <definedName name="OLE_LINK20" localSheetId="4">'Приложение №6 мосты'!#REF!</definedName>
    <definedName name="OLE_LINK22" localSheetId="0">'Приложение №2 кап.рем'!#REF!</definedName>
    <definedName name="OLE_LINK22" localSheetId="2">'Приложение №4 дороги (проч)'!#REF!</definedName>
    <definedName name="OLE_LINK22" localSheetId="3">'Приложение №5 дороги (рег п)'!#REF!</definedName>
    <definedName name="OLE_LINK22" localSheetId="4">'Приложение №6 мосты'!#REF!</definedName>
    <definedName name="OLE_LINK54" localSheetId="0">'Приложение №2 кап.рем'!#REF!</definedName>
    <definedName name="OLE_LINK54" localSheetId="2">'Приложение №4 дороги (проч)'!#REF!</definedName>
    <definedName name="OLE_LINK54" localSheetId="3">'Приложение №5 дороги (рег п)'!$A$14</definedName>
    <definedName name="OLE_LINK54" localSheetId="4">'Приложение №6 мосты'!#REF!</definedName>
    <definedName name="OLE_LINK97" localSheetId="0">'Приложение №2 кап.рем'!#REF!</definedName>
    <definedName name="OLE_LINK97" localSheetId="2">'Приложение №4 дороги (проч)'!#REF!</definedName>
    <definedName name="OLE_LINK97" localSheetId="3">'Приложение №5 дороги (рег п)'!#REF!</definedName>
    <definedName name="OLE_LINK97" localSheetId="4">'Приложение №6 мосты'!#REF!</definedName>
    <definedName name="_xlnm.Print_Area" localSheetId="2">'Приложение №4 дороги (проч)'!$A$1:$H$77</definedName>
    <definedName name="_xlnm.Print_Area" localSheetId="3">'Приложение №5 дороги (рег п)'!$A$1:$L$32</definedName>
    <definedName name="_xlnm.Print_Area" localSheetId="4">'Приложение №6 мосты'!$A$1:$F$18</definedName>
  </definedNames>
  <calcPr calcId="162913" fullPrecision="0"/>
</workbook>
</file>

<file path=xl/calcChain.xml><?xml version="1.0" encoding="utf-8"?>
<calcChain xmlns="http://schemas.openxmlformats.org/spreadsheetml/2006/main">
  <c r="B29" i="28" l="1"/>
  <c r="F18" i="4" l="1"/>
  <c r="H30" i="27"/>
  <c r="H31" i="27"/>
  <c r="G28" i="27"/>
  <c r="G26" i="27"/>
  <c r="G25" i="27"/>
  <c r="G24" i="27"/>
  <c r="G12" i="27"/>
  <c r="G16" i="27"/>
  <c r="I16" i="27"/>
  <c r="G74" i="22"/>
  <c r="G73" i="22"/>
  <c r="G72" i="22"/>
  <c r="G71" i="22"/>
  <c r="G93" i="22"/>
  <c r="C74" i="22"/>
  <c r="C73" i="22"/>
  <c r="C72" i="22"/>
  <c r="C71" i="22"/>
  <c r="G70" i="22"/>
  <c r="C70" i="22"/>
  <c r="G67" i="22"/>
  <c r="C67" i="22"/>
  <c r="G61" i="22"/>
  <c r="C61" i="22"/>
  <c r="G56" i="22"/>
  <c r="C56" i="22"/>
  <c r="G53" i="22"/>
  <c r="C53" i="22"/>
  <c r="G49" i="22"/>
  <c r="C49" i="22"/>
  <c r="G46" i="22"/>
  <c r="C46" i="22"/>
  <c r="G40" i="22"/>
  <c r="C40" i="22"/>
  <c r="G37" i="22"/>
  <c r="C37" i="22"/>
  <c r="C30" i="22"/>
  <c r="G30" i="22"/>
  <c r="G25" i="22"/>
  <c r="C25" i="22"/>
  <c r="C22" i="22"/>
  <c r="G22" i="22"/>
  <c r="C17" i="22"/>
  <c r="G17" i="22"/>
  <c r="G13" i="22"/>
  <c r="F77" i="25"/>
  <c r="C77" i="25"/>
  <c r="F75" i="25"/>
  <c r="C75" i="25"/>
  <c r="F70" i="25"/>
  <c r="C70" i="25"/>
  <c r="F57" i="25"/>
  <c r="C57" i="25"/>
  <c r="F51" i="25"/>
  <c r="C51" i="25"/>
  <c r="F44" i="25"/>
  <c r="C44" i="25"/>
  <c r="F38" i="25"/>
  <c r="C38" i="25"/>
  <c r="F31" i="25"/>
  <c r="C31" i="25"/>
  <c r="F25" i="25"/>
  <c r="C25" i="25"/>
  <c r="F22" i="25"/>
  <c r="C22" i="25"/>
  <c r="F15" i="25"/>
  <c r="C15" i="25"/>
  <c r="C18" i="4"/>
  <c r="F14" i="4"/>
  <c r="C14" i="4"/>
  <c r="F11" i="4"/>
  <c r="C11" i="4"/>
  <c r="C28" i="27"/>
  <c r="C26" i="27"/>
  <c r="C25" i="27"/>
  <c r="G19" i="27"/>
  <c r="C93" i="22"/>
  <c r="I19" i="22" l="1"/>
  <c r="I42" i="22"/>
  <c r="G23" i="27" l="1"/>
  <c r="G22" i="27" s="1"/>
  <c r="I22" i="27" s="1"/>
  <c r="C23" i="27"/>
  <c r="H21" i="27"/>
  <c r="H23" i="27" s="1"/>
  <c r="C19" i="27"/>
  <c r="H18" i="27"/>
  <c r="H19" i="27" s="1"/>
  <c r="C16" i="27"/>
  <c r="H14" i="27"/>
  <c r="H16" i="27" s="1"/>
  <c r="C12" i="27"/>
  <c r="H10" i="27"/>
  <c r="G15" i="27" l="1"/>
  <c r="I15" i="27" s="1"/>
  <c r="C24" i="27"/>
  <c r="I10" i="27"/>
  <c r="I14" i="27"/>
  <c r="I18" i="27"/>
  <c r="I19" i="27" s="1"/>
  <c r="I21" i="27"/>
  <c r="I23" i="27" s="1"/>
  <c r="H12" i="27"/>
  <c r="F69" i="25" l="1"/>
  <c r="F66" i="25"/>
  <c r="C64" i="25"/>
  <c r="F63" i="25"/>
  <c r="F64" i="25" s="1"/>
  <c r="F56" i="25"/>
  <c r="F50" i="25"/>
  <c r="F49" i="25"/>
  <c r="F48" i="25"/>
  <c r="F47" i="25"/>
  <c r="F43" i="25"/>
  <c r="F42" i="25"/>
  <c r="F41" i="25"/>
  <c r="F40" i="25"/>
  <c r="F37" i="25"/>
  <c r="F36" i="25"/>
  <c r="F35" i="25"/>
  <c r="F34" i="25"/>
  <c r="F30" i="25"/>
  <c r="F29" i="25"/>
  <c r="F24" i="25"/>
  <c r="F20" i="25"/>
  <c r="F19" i="25"/>
  <c r="F18" i="25"/>
  <c r="F17" i="25"/>
  <c r="F14" i="25"/>
  <c r="F13" i="25"/>
  <c r="F16" i="4" l="1"/>
  <c r="G42" i="22" l="1"/>
  <c r="B7" i="20" l="1"/>
  <c r="F13" i="4"/>
  <c r="F10" i="5"/>
  <c r="G88" i="22" l="1"/>
  <c r="G86" i="22"/>
  <c r="C86" i="22"/>
  <c r="G84" i="22"/>
  <c r="C84" i="22"/>
  <c r="C88" i="22" s="1"/>
  <c r="G81" i="22"/>
  <c r="C81" i="22"/>
  <c r="G33" i="22"/>
  <c r="C33" i="22"/>
  <c r="C13" i="22"/>
  <c r="C85" i="22" s="1"/>
  <c r="G85" i="22" l="1"/>
  <c r="G91" i="22" s="1"/>
  <c r="C87" i="22"/>
  <c r="G77" i="22" l="1"/>
  <c r="G87" i="22" s="1"/>
  <c r="C17" i="4" l="1"/>
  <c r="F11" i="5" l="1"/>
  <c r="F12" i="5" s="1"/>
  <c r="C11" i="5"/>
  <c r="C12" i="5" s="1"/>
  <c r="F17" i="4" l="1"/>
  <c r="C27" i="10" l="1"/>
  <c r="C24" i="10"/>
  <c r="B24" i="10"/>
  <c r="B23" i="10"/>
  <c r="C22" i="10"/>
  <c r="B22" i="10"/>
  <c r="B27" i="10" s="1"/>
  <c r="C7" i="10"/>
  <c r="C23" i="10" s="1"/>
  <c r="B7" i="10"/>
  <c r="D27" i="10" l="1"/>
  <c r="C21" i="10"/>
  <c r="G11" i="27"/>
  <c r="I11" i="27" s="1"/>
  <c r="L23" i="27" l="1"/>
  <c r="I30" i="27"/>
  <c r="I12" i="27"/>
  <c r="G35" i="27"/>
</calcChain>
</file>

<file path=xl/sharedStrings.xml><?xml version="1.0" encoding="utf-8"?>
<sst xmlns="http://schemas.openxmlformats.org/spreadsheetml/2006/main" count="474" uniqueCount="217">
  <si>
    <t>№ п/п</t>
  </si>
  <si>
    <t>Наименование объекта</t>
  </si>
  <si>
    <t>Мощность, км</t>
  </si>
  <si>
    <t>Сроки выполнения работ</t>
  </si>
  <si>
    <t>начало</t>
  </si>
  <si>
    <t>окончание</t>
  </si>
  <si>
    <t>Арсеньевский район</t>
  </si>
  <si>
    <t>апрель</t>
  </si>
  <si>
    <t>октябрь</t>
  </si>
  <si>
    <t>Итого по району:</t>
  </si>
  <si>
    <t>Богородицкий район</t>
  </si>
  <si>
    <t>Веневский район</t>
  </si>
  <si>
    <t>Воловский район</t>
  </si>
  <si>
    <t>Дубенский район</t>
  </si>
  <si>
    <t>Каменский район</t>
  </si>
  <si>
    <t>декабрь</t>
  </si>
  <si>
    <t>Суворовский район</t>
  </si>
  <si>
    <t>Узловский район</t>
  </si>
  <si>
    <t>Чернский район</t>
  </si>
  <si>
    <t>Ясногорский район</t>
  </si>
  <si>
    <t>Белевский район</t>
  </si>
  <si>
    <t>Одоевский район</t>
  </si>
  <si>
    <t>Плавский район</t>
  </si>
  <si>
    <t>Щекинский район</t>
  </si>
  <si>
    <t>Приложение 2</t>
  </si>
  <si>
    <t>Приложение 5</t>
  </si>
  <si>
    <t>Киреевский район</t>
  </si>
  <si>
    <t>Мощность, пог. м</t>
  </si>
  <si>
    <t>Мероприятие «Увеличение доли автомобильных дорог общего пользования регионального или межмуниципального значения, отвечающих нормативным требованиям, и обеспечение их устойчивого функционирования»</t>
  </si>
  <si>
    <t>ВСЕГО ПО РЕМОНТУ АВТОДОРОГ:</t>
  </si>
  <si>
    <t>Приложение 4</t>
  </si>
  <si>
    <t>финансирование осуществляется за счет средств бюджета Тульской области</t>
  </si>
  <si>
    <t>Содержание автомобильных дорог общего пользования регионального или межмуниципального значения и искусственных сооружений на них</t>
  </si>
  <si>
    <t>ИТОГО</t>
  </si>
  <si>
    <t>Приложение 6</t>
  </si>
  <si>
    <t>Капитальный ремонт участка автомобильной дороги II технической категории Тула-Новомосковск в части устройства пешеходного перехода на км 6+390 (в районе кладбища) в МО город Тула</t>
  </si>
  <si>
    <t>Перечень автомобильных дорог общего пользования регионального или межмуниципального значения, подлежащих ремонту в 2020 году (по мероприятию «Увеличение доли автомобильных дорог общего пользования регионального или межмуниципального значения, отвечающих нормативным требованиям, и обеспечение их устойчивого функционирования»)</t>
  </si>
  <si>
    <t>Итого по району</t>
  </si>
  <si>
    <t>ИТОГО по ремонту искусственных сооружений</t>
  </si>
  <si>
    <t>Перечень искусственных сооружений на автомобильных дорогах общего пользования регионального или межмуниципального зачения, подлежащих ремонту в 2020 году (по мероприятию «Увеличение доли автомобильных дорог общего пользования регионального или межмуниципального значения, отвечающих нормативным требованиям, и обеспечение их устойчивого функционирования»)</t>
  </si>
  <si>
    <t>173,54 пог.м</t>
  </si>
  <si>
    <t>Перечень автомобильных дорог общего пользования регионального или межмуниципального значения, подлежащих ремонту в 2020 году (по региональному проекту «Дорожная сеть»)</t>
  </si>
  <si>
    <t>Устройство недостающего электроосвещения на автомобильных дорогах общего пользования регионального значения в 2020 году</t>
  </si>
  <si>
    <t>Наименование показателя</t>
  </si>
  <si>
    <t>Стоимость тыс,руб.</t>
  </si>
  <si>
    <t>Перечень автомобильных дорог общего пользования регионального или межмуниципального значения, 
подлежащих капитальному ремонту в 2020 году, в том числе:</t>
  </si>
  <si>
    <t>ремонт</t>
  </si>
  <si>
    <t>капитальный ремонт</t>
  </si>
  <si>
    <t>Налоги</t>
  </si>
  <si>
    <t>содержание</t>
  </si>
  <si>
    <t>налоги</t>
  </si>
  <si>
    <t>Куркинский район:</t>
  </si>
  <si>
    <t>Категория дороги</t>
  </si>
  <si>
    <t>Категория а/д</t>
  </si>
  <si>
    <t>IV</t>
  </si>
  <si>
    <t>III</t>
  </si>
  <si>
    <t>V</t>
  </si>
  <si>
    <t>ИТОГО по ремонту автодорог, том числе:</t>
  </si>
  <si>
    <t>IV категория</t>
  </si>
  <si>
    <t>V категория</t>
  </si>
  <si>
    <t>ИТОГО по ремонту автодорог, в том числе:</t>
  </si>
  <si>
    <t>сентябрь</t>
  </si>
  <si>
    <t>III категория</t>
  </si>
  <si>
    <t>Итого по капитальному ремонту</t>
  </si>
  <si>
    <t>ноябрь</t>
  </si>
  <si>
    <t>III, IV</t>
  </si>
  <si>
    <t>IV - 2,98 км</t>
  </si>
  <si>
    <t>V - 3,4 км</t>
  </si>
  <si>
    <t>Наименование района</t>
  </si>
  <si>
    <t>Заокский район</t>
  </si>
  <si>
    <t>Кимовский район</t>
  </si>
  <si>
    <t>Куркинский район</t>
  </si>
  <si>
    <t>Тепло-Огаревский район</t>
  </si>
  <si>
    <t>Протяженность, км</t>
  </si>
  <si>
    <t xml:space="preserve"> Дубенский район</t>
  </si>
  <si>
    <t>май</t>
  </si>
  <si>
    <t>июнь</t>
  </si>
  <si>
    <t>июль</t>
  </si>
  <si>
    <t>МО г.Тула</t>
  </si>
  <si>
    <t>август</t>
  </si>
  <si>
    <t>ИТОГО по освещению</t>
  </si>
  <si>
    <t>Приложение 3</t>
  </si>
  <si>
    <t>Ремонт участка автомобильной дороги «Спицино - Иваньково - Есуково» - автоподъезд к населенному пункту Григорьевское км 0+000 - км 3+400 в Ясногорском районе</t>
  </si>
  <si>
    <t>Ремонт участков автомобильной дороги Автоподъезд к населенному пункту Лужны от автодороги «Чернь - Медведки» - Ержино км 0+000 - км 0+180, км 2+800 - км 5+600 в Чернском районе</t>
  </si>
  <si>
    <t>Алексинский район</t>
  </si>
  <si>
    <t>Ефремовский район</t>
  </si>
  <si>
    <t>Новомосковский район</t>
  </si>
  <si>
    <t>финансирование осуществляется за счет средств бюджета Тульской области, если не указано иное</t>
  </si>
  <si>
    <t>Приложение 7</t>
  </si>
  <si>
    <t>Перечень автомобильных дорог общего пользования регионального или межмуниципального значения, 
подлежащих капитальному ремонту в 2022 году</t>
  </si>
  <si>
    <t>Перечень автомобильных дорог общего пользования регионального или межмуниципального значения, подлежащих устройству недостающего электроосвещения в 2022 году</t>
  </si>
  <si>
    <t>Перечень автомобильных дорог общего пользования регионального или межмуниципального значения, подлежащих ремонту в 2022 году (по мероприятию «Увеличение доли автомобильных дорог общего пользования регионального или межмуниципального значения, отвечающих нормативным требованиям, и обеспечение их устойчивого функционирования»)</t>
  </si>
  <si>
    <t>IV - 4,478 км</t>
  </si>
  <si>
    <t>IV - 4,375 км</t>
  </si>
  <si>
    <t>IV - 4,23 км</t>
  </si>
  <si>
    <t>IV - 6,329 км</t>
  </si>
  <si>
    <t xml:space="preserve">III - 6,752 км                    </t>
  </si>
  <si>
    <t>IV - 8,81 км</t>
  </si>
  <si>
    <t xml:space="preserve">III - 1,900 км                    </t>
  </si>
  <si>
    <t>IV - 6,51 км</t>
  </si>
  <si>
    <t xml:space="preserve">III - 3,742 км                    </t>
  </si>
  <si>
    <t>Ремонт автомобильной дороги Обход поселка Куркино км 0+000 - км 3+000 в Куркинском районе</t>
  </si>
  <si>
    <t xml:space="preserve">III - 3,000 км                    </t>
  </si>
  <si>
    <t>IV - 1,700 км</t>
  </si>
  <si>
    <t>Ремонт автомобильной дороги Тетяковка - Большие Стрельцы км 0+000 - км 6+036 в Новомосковском районе</t>
  </si>
  <si>
    <t>IV - 6,036 км</t>
  </si>
  <si>
    <t>IV - 7,600 км</t>
  </si>
  <si>
    <t>IV - 3,179 км</t>
  </si>
  <si>
    <t>IV - 1,317 км</t>
  </si>
  <si>
    <t>III - 5,123 км</t>
  </si>
  <si>
    <t>IV - 4,095 км</t>
  </si>
  <si>
    <t>V - 3,184 км</t>
  </si>
  <si>
    <t>IV - 4,230</t>
  </si>
  <si>
    <t>Ремонт участка автомобильной дороги Белев - Ровно - Слобода км 0+000 - км 4+478 в Белевском районе</t>
  </si>
  <si>
    <t>Ремонт автомобильной дороги Волово - Панарино - Озерки км 0+000 - км 6+329 в Воловском районе</t>
  </si>
  <si>
    <t>Ремонт участка автомобильной дороги Ефремов - Химзавод км 8+300 - км 15+052 в Ефремовском районе</t>
  </si>
  <si>
    <t>Ремонт участка автомобильной дороги Архангельское - Галица км 10+000 - км 18+810 в Каменском районе</t>
  </si>
  <si>
    <t>Ремонт участка автомобильной дороги Кимовск - Епифань - Куликово поле - Кресты км 31+100 - км 33+000 в Кимовском районе</t>
  </si>
  <si>
    <t>Ремонт автомобильной дороги Щекино - Липки - Киреевск - Приупский - Верхнее Упинское водохранилище км 0+000 - км 6+510 в Киреевском районе</t>
  </si>
  <si>
    <t>Ремонт автомобильной дороги "Ивановка - Грибоедово" - автоподъезд к населенному пункту Воскресенское км 0+000 - км 1+700 в Куркинском районе</t>
  </si>
  <si>
    <t>Ремонт участков автомобильной дороги Кимовск - Епифань - Куликово поле - Кресты км 47+455 - км 48+900, км 58+000 - км 60+297 в Куркинском районе</t>
  </si>
  <si>
    <t>Ремонт автомобильной дороги "Узловая-2 Россошинская" - автоподъезд к населенному пункту Ильинка км 0+000 - км 3+179 в Узловском районе</t>
  </si>
  <si>
    <t>Ремонт участка автомобильной дороги Арсеньево - Араны - Славный - Дьяково - Медвежка км 48+177 - км 52+272 в Чернском районе</t>
  </si>
  <si>
    <t>III - 32,112 км</t>
  </si>
  <si>
    <t>III - 7,6 км                             IV - 3,41 км</t>
  </si>
  <si>
    <t>III - 5,0 км                             IV - 4,195 км</t>
  </si>
  <si>
    <t>переходящий с 2021 года</t>
  </si>
  <si>
    <t>Ремонт моста через ручей на км 9+677 автомобильной дороги Чекалин - Суворов - Ханино в Суворовском районе Тульской области</t>
  </si>
  <si>
    <t>Ленинский район</t>
  </si>
  <si>
    <t>Ремонт участков автомобильной дороги Егорьевск - Коломна - Кашира - Ненашево км 123+500 - км 128+430, км 128+635 - км 132+900 в Ясногорском районе</t>
  </si>
  <si>
    <t>Содержание автомобильных дорог общего пользования регионального или межмуниципального значения за счет финансирования 2022 года</t>
  </si>
  <si>
    <t>МО г.Алексин</t>
  </si>
  <si>
    <t>Капитальный ремонт в части устройства недостающего электроосвещения на автомобильной дороге общего пользования регионального значения "Алексин - Заокский"       (н.п. Соломасово, н.п. Ботня) в МО г. Алексин Тульской области</t>
  </si>
  <si>
    <t>Капитальный ремонт в части устройства недостающего электроосвещения на автомобильной дороге общего пользования регионального значения "Дон" - Иевлево-Черняевка-Мшищи-Ломовка" (н.п. Богородицк) в Богородицком районе Тульской области</t>
  </si>
  <si>
    <t>МО г.Новомосковск</t>
  </si>
  <si>
    <t>Капитальный ремонт в части устройства недостающего электроосвещения на автомобильной дороге общего пользования регионального значения Шахта 33 - шахта 38 - шахта 39/40 - Сокольники (н.п. Донской) в МО г. Новомосковск Тульской области</t>
  </si>
  <si>
    <t>Одоевский  район</t>
  </si>
  <si>
    <t>Капитальный ремонт в части устройства недостающего электроосвещения на автомобильной дороге общего пользования регионального значения Шаховское - Горьковское (н.п. Краснолесский) в Узловском районе Тульской области</t>
  </si>
  <si>
    <t>Капитальный ремонт в части устройства недостающего электроосвещения на автомобильной дороге общего пользования регионального значения "Донской - Богородицк" - автоподъезд к населенному пункту Смородино (н.п. Смородино) в Узловском районе Тульской области</t>
  </si>
  <si>
    <t>Капитальный ремонт в части устройства недостающего электроосвещения на автомобильной дороге общего пользования регионального значения Егорьевск – Коломна – Кашира – Ненашево - автоподъезд к населенному пункту Климовское (н.п. Климовское) в Ясногорском районе Тульской области</t>
  </si>
  <si>
    <t>Капитальный ремонт в части устройства недостающего электроосвещения на автомобильной дороге общего пользования регионального значения М-2 «Крым» - Ревякино (н.п. Ревякино) в Ясногорском районе Тульской области</t>
  </si>
  <si>
    <t>февраль</t>
  </si>
  <si>
    <t>Ремонт участков автомобильной дороги Горбачево - Липицы  км 0+000 - км 1+625, км 1+685 - км 3+448, км 3+496 - км 11+118 в Плавском районе</t>
  </si>
  <si>
    <t>Ремонт участка автомобильной дороги "Богородицк -Товарковский - Куркино" - Бахметьево - Гагарино - Каменка км 9+300 - км 13+675 в Богородицком районе</t>
  </si>
  <si>
    <t>Ремонт участка автомобильной дороги "Спицинский - Иваньково - Есуковский" - автоподъезд к населенному пункту Григорьевское км 3+400 - км 6+584 в Ясногорском районе</t>
  </si>
  <si>
    <t>Ремонт автомобильной дороги Тула - Белев км 27+865 - км 59+977 в Дубенском районе</t>
  </si>
  <si>
    <t xml:space="preserve">Ремонт автомобильной дороги "Болохово - Шварцевский"        км 0+000 - км 8+500 в Киреевском районе </t>
  </si>
  <si>
    <r>
      <t>Ремонт моста через р. Шиворона на</t>
    </r>
    <r>
      <rPr>
        <sz val="12"/>
        <color rgb="FFC00000"/>
        <rFont val="PT Astra Serif"/>
        <family val="1"/>
        <charset val="204"/>
      </rPr>
      <t xml:space="preserve"> </t>
    </r>
    <r>
      <rPr>
        <sz val="12"/>
        <rFont val="PT Astra Serif"/>
        <family val="1"/>
        <charset val="204"/>
      </rPr>
      <t>км 2+195 автомобильной дороги "Быковка - Богородицк" - Дедилово - Хрущевка в Киреевском районе Тульской области</t>
    </r>
  </si>
  <si>
    <t>Приложение 8</t>
  </si>
  <si>
    <t>Содержание автомобильных дорог общего пользования регионального или межмуниципального значения за счет финансирования 2021 года</t>
  </si>
  <si>
    <t xml:space="preserve">III - 1,000 км                    </t>
  </si>
  <si>
    <t>Ремонт автомобильной дороги "Голодское - Суворов - Одоев" - автоподъезд к населенному пункту Лужки км 0+000 - км 0+610, км 1+273 - км 2+615, км 2+770 - км 3+288 в Суворовском районе</t>
  </si>
  <si>
    <t>IV - 2,47 км</t>
  </si>
  <si>
    <t>IV - 8,500 км</t>
  </si>
  <si>
    <t>Капитальный ремонт в части устройства недостающего электроосвещения на автомобильной дороге общего пользования регионального значения  "М-2 "Крым" старого направления -автоподъезд к населенному пункту Прокшино (н.п. Прокшино) в Заокском районе Тульской области</t>
  </si>
  <si>
    <t xml:space="preserve">Ленинский район </t>
  </si>
  <si>
    <t>в том числе из федерального бюджета 
68 000 000,0, из бюджета Тульской области
14 956 767,56</t>
  </si>
  <si>
    <t>Стоимость, рублей</t>
  </si>
  <si>
    <t xml:space="preserve">в том числе из федерального бюджета </t>
  </si>
  <si>
    <t>Контрольная сумма (всего)</t>
  </si>
  <si>
    <t>Перечень автомобильных дорог общего пользования регионального или межмуниципального значения, подлежащих ремонту в 2022 году 
(по региональному проекту «Региональная и местная дорожная сеть»)</t>
  </si>
  <si>
    <t>Стоимость,
рублей</t>
  </si>
  <si>
    <t>Всего</t>
  </si>
  <si>
    <t>в том числе из  бюджета 
Тульской области</t>
  </si>
  <si>
    <t>Содержание по району ВСЕГО, рублей</t>
  </si>
  <si>
    <t>в том числе из федерального бюджета 
47 000 000,0, из бюджета Тульской области
12 358 356,52</t>
  </si>
  <si>
    <t>Капитальный ремонт в части устройства недостающего электроосвещения на автомобильной дороге общего пользования регионального значения "Клешня - Спас-Конино"      (н.п. Клешня,                 н.п. Спас-Конино) в МО г. Алексин Тульской области</t>
  </si>
  <si>
    <t>Капитальный ремонт в части устройства недостающего электроосвещения на автомобильной дороге общего пользования регионального значения "Алексин - Малое Саватеево" (н.п. Малое Саватеево) в МО г. Алексин Тульской области</t>
  </si>
  <si>
    <t>Капитальный ремонт в части устройства недостающего электроосвещения на автомобильной дороге общего пользования регионального значения "Богородицк - Товарковский - Куркино" - Бахметьево - Гагарино - Каменка (н.п. Бахметьево, н.п. Гагарино) в Богородицком районе Тульской области</t>
  </si>
  <si>
    <t>Капитальный ремонт в части устройства недостающего электроосвещения на автомобильной дороге общего пользования регионального значения "Богородицк - Товарковский - Куркино"                (н.п. Товарковский) в Богородицком районе Тульской области</t>
  </si>
  <si>
    <t>Капитальный ремонт в части устройства недостающего электроосвещения на автомобильной дороге общего пользования регионального значения "Дон" - Иевлево - Черняевка - Мшищи -Ломовка"  (н.п. Иевлево, н.п. Черняевка, н.п. Щегловка, н.п. Мшищи,                        н.п. Ломовка) в Богородицком районе Тульской области</t>
  </si>
  <si>
    <t>Капитальный ремонт в части устройства недостающего электроосвещения на автомобильной дороге "Богородицк - Епифань" -шахта 2/3 - поселок Гора - Корсаково - Каменка - Суходол                                  (н.п. Бегичевский) в Богородицком районе Тульской области</t>
  </si>
  <si>
    <t>Капитальный ремонт в части устройства недостающего электроосвещения на автомобильной дороге общего пользования регионального значения "Дубна - Скоморошки" - "Тула - Белев"                       (н.п. Савенки, н.п. Скоморошки, н.п. Сидоровка) в Дубенском районе Тульской области</t>
  </si>
  <si>
    <t>Капитальный ремонт в части устройства недостающего электроосвещения на автомобильной дороге общего пользования регионального значения Егорьевск - Коломна - Кашира - Ненашево                           (н.п. Шеверняево) в Заокском районе Тульской области</t>
  </si>
  <si>
    <t>Капитальный ремонт в части устройства недостающего электроосвещения на автомобильной дороге общего пользования регионального значения  Малахово-Заокский-музей Поленово                     (н.п. Тяпкино) в Заокском районе Тульской области</t>
  </si>
  <si>
    <t>Капитальный ремонт в части устройства недостающего электроосвещения на автомобильной дороге общего пользования регионального значения Поленово - Митино - Ланьшино                                 (н.п. Ланьшинский) в Заокском районе Тульской области</t>
  </si>
  <si>
    <t>Капитальный ремонт в части устройства недостающего электроосвещения на автомобильной дороге общего пользования регионального значения Болохово - Шварцевский   (н.п. Новоселебное) в Киреевском районе Тульской области</t>
  </si>
  <si>
    <t>Капитальный ремонт в части устройства недостающего электроосвещения на автомобильной дороге общего пользования регионального значения "Быковка - Богородицк" - автоподъезд к городу Киреевск в Киреевском районе Тульской области</t>
  </si>
  <si>
    <t>Капитальный ремонт в части устройства недостающего электроосвещения на автомобильной дороге общего пользования регионального значения Сечено - Майское - Крутицы (н.п. Майское,                  н.п. Луневка, н.п. Крутицы) в Киреевском районе Тульской области</t>
  </si>
  <si>
    <t>Капитальный ремонт в части устройства недостающего электроосвещения на автомобильной дороге общего пользования регионального значения Болохово - Шварцевский   (н.п. Советский ) в Киреевском районе Тульской области</t>
  </si>
  <si>
    <t>Капитальный ремонт в части устройства недостающего электроосвещения на автомобильной дороге общего пользования регионального значения Болохово - Новое Село   (н.п. Болохово,                            н.п. Новое Село) в Киреевском районе Тульской области</t>
  </si>
  <si>
    <t>Капитальный ремонт в части устройства недостающего электроосвещения на автомобильной дороге общего пользования регионального значения Кимовск - Епифань - Куликово Поле - Кресты    (н.п. Епифань) в Кимовском районе Тульской области</t>
  </si>
  <si>
    <t>Капитальный ремонт в части устройства недостающего электроосвещения на автомобильной дороге общего пользования регионального значения Кимовск - Новольвовск (н.п. Ясный) в Кимовском районе Тульской области</t>
  </si>
  <si>
    <t>Капитальный ремонт в части устройства недостающего электроосвещения на автомобильной дороге общего пользования регионального значения Левобережный - Шахтинский (н.п. Весенний, н.п. Шахтинский) в Кимовском районе Тульской области</t>
  </si>
  <si>
    <t>Капитальный ремонт в части устройства недостающего электроосвещения на автомобильной дороге общего пользования регионального значения Кимовск - Таболо (н.п. Машково,                                н.п. Кудашево) в Кимовском районе Тульской области</t>
  </si>
  <si>
    <t>Капитальный ремонт в части устройства недостающего электроосвещения на автомобильной дороге общего пользования регионального значения "Крым" - автоподъезд к населенному пункту Ленинский (н.п. Ленинский) в  МО г.Тула</t>
  </si>
  <si>
    <t>Капитальный ремонт в части устройства недостающего электроосвещения на автомобильной дороге общего пользования регионального значения Тула - Алешня (н.п. Жировка) в  МО г.Тула</t>
  </si>
  <si>
    <t>Капитальный ремонт в части устройства недостающего электроосвещения на автомобильной дороге общего пользования регионального значения автоподъезд к населенному пункту Юрьево (н.п. Юрьево) в  МО г.Тула</t>
  </si>
  <si>
    <t>Капитальный ремонт в части устройства недостающего электроосвещения на автомобильной дороге общего пользования регионального значения "Тула - Белев" - автоподъезд к населенному пункту Зайцево (н.п. Зайцево) в  МО г.Тула</t>
  </si>
  <si>
    <t>Капитальный ремонт в части устройства недостающего электроосвещения на автомобильной дороге общего пользования регионального значения "Тула - Алексин" - Обидимо - "КТМР"                         (н.п. Обидимо) в  МО г.Тула</t>
  </si>
  <si>
    <t>Капитальный ремонт в части устройства недостающего электроосвещения на автомобильной дороге общего пользования регионального значения Новомосковск - Иван Озеро - Савино                    (н.п. Северо-Задонск) в МО г. Новомосковск Тульской области</t>
  </si>
  <si>
    <t>Капитальный ремонт в части устройства недостающего электроосвещения на автомобильной дороге общего пользования регионального значения Сокольники - Петрово - Избищи                              (н.п. Сокольники, н.п. Избищи) в МО г. Новомосковск Тульской области</t>
  </si>
  <si>
    <t>Капитальный ремонт в части устройства недостающего электроосвещения на автомобильной дороге общего пользования регионального значения "Тула - Новомосковск" - Сокольники - Березовка в МО г. Новомосковск Тульской области</t>
  </si>
  <si>
    <t>Капитальный ремонт в части устройства недостающего электроосвещения на автомобильной дороге общего пользования регионального значения "Тула - Белёв" - подъезд к населенному пункту Апухтино (н.п. Красное, н.п. Апухтино) в Одоевском районе Тульской области</t>
  </si>
  <si>
    <t>Капитальный ремонт в части устройства недостающего электроосвещения на автомобильной дороге общего пользования регионального значения  Богородицк - Епифань - автоподъезд к                        н.п. Бутырки (н.п. Ракитино) в Узловском районе Тульской области</t>
  </si>
  <si>
    <t>Капитальный ремонт в части устройства недостающего электроосвещения на автомобильной дороге общего пользования регионального значения  Узловая - Богородицк (н.п. Узловая,                               н.п. Высоцкое, н.п. Ореховка, н.п. Юлинка) в Узловском районе Тульской области</t>
  </si>
  <si>
    <t>Капитальный ремонт в части устройства недостающего электроосвещения на автомобильной дороге общего пользования регионального значения Ясногорск - Тормино (н.п. Ясногорск,                         н.п. Лаптево) в Ясногорском районе Тульской области</t>
  </si>
  <si>
    <t>Ремонт участка автомобильной дороги "М-4 "Дон" Москва - Воронеж - Ростов-на-Дону - Краснодар - Новороссийск" - Волово - Теплое км 21+470 - км 29+070 в Тепло-Огаревском районе</t>
  </si>
  <si>
    <t xml:space="preserve">Ремонт участка автомобильной дороги "Рязань - Ряжск - Александр Невский - Данков - Ефремов" км 151+118 - км 152+118 в Ефремовском районе Тульской области </t>
  </si>
  <si>
    <t>Ремонт участка автомобильной дороги "Богородицк -Епифань" - шахта 2/3 - поселок Гора - Корсаково - Каменка - Суходол км 4+240 - км 8+470 в Богородицком районе</t>
  </si>
  <si>
    <t>Ремонт участка автомобильной дороги Хатманово - Сотино - Мясоедово км 0+000 - км 4+230 в Алексинском районе</t>
  </si>
  <si>
    <t>Ремонт моста через р. Веженка км 0+350 автоподъезда к населенному пункту Кураково от автодороги Тула - Белев в Белевском районе Тульской области</t>
  </si>
  <si>
    <r>
      <t xml:space="preserve">Капитальный ремонт участка автомобильной дороги Скуратово - Фалдино - Кишкино (н.п. Скуратово) в Ленинском районе МО </t>
    </r>
    <r>
      <rPr>
        <sz val="12"/>
        <rFont val="PT Astra Serif"/>
        <family val="1"/>
        <charset val="204"/>
      </rPr>
      <t>город Т</t>
    </r>
    <r>
      <rPr>
        <sz val="12"/>
        <color theme="1"/>
        <rFont val="PT Astra Serif"/>
        <family val="1"/>
        <charset val="204"/>
      </rPr>
      <t>ула Тульской области</t>
    </r>
  </si>
  <si>
    <t>Контрольная сумма (федеральные)</t>
  </si>
  <si>
    <t>−</t>
  </si>
  <si>
    <t>переходящий на 2023</t>
  </si>
  <si>
    <t>в том числе из федерального бюджета 
51 000 000,0, из бюджета Тульской области
9 072 242,68</t>
  </si>
  <si>
    <t>в том числе из федерального бюджета 
52 000 000,0, из бюджета Тульской области
9 293 321,94</t>
  </si>
  <si>
    <t>в том числе из федерального бюджета 
106 200 000,0, из бюджета Тульской области
14 019 071,00</t>
  </si>
  <si>
    <t>в том числе из федерального бюджета 
24 000 000,0, из бюджета Тульской области
10 359 515,97</t>
  </si>
  <si>
    <t>в том числе из федерального бюджета 
134 000 000,0, из бюджета Тульской области
29 676 522,28</t>
  </si>
  <si>
    <t>в том числе из федерального бюджета 
34 000 000,0, из бюджета Тульской области
6 795 171,9</t>
  </si>
  <si>
    <t>Ремонт автомобильной дороги "Узловая - Богородицк" - Марьинка -  автоподъезд к населенному пункту Вельмино км 0+000 - км 1+317 в Узловском районе</t>
  </si>
  <si>
    <t>Ремонт участков автомобильной дороги Чернь - Медведки    км 24+030 км 26+030, км 28 +144 - км 31+267 в Чернском районе</t>
  </si>
  <si>
    <t>в том числе из федерального бюджета                   51 870 600,00, из бюджета Тульской области
26 802 230,62</t>
  </si>
  <si>
    <t>в том числе из федерального бюджета 
48 000 000,0, из бюджета Тульской области
8 791 287,89</t>
  </si>
  <si>
    <t>Перечень искусственных сооружений на автомобильных дорогах общего пользования регионального или межмуниципального значения, подлежащих ремонту в 2022 году (по мероприятию «Увеличение доли автомобильных дорог общего пользования регионального или межмуниципального значения, отвечающих нормативным требованиям, и обеспечение их устойчивого функционирования»)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</si>
</sst>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"/>
    <numFmt numFmtId="165" formatCode="0.000"/>
    <numFmt numFmtId="166" formatCode="#,##0.000"/>
    <numFmt numFmtId="167" formatCode="0.00000"/>
    <numFmt numFmtId="168" formatCode="#,##0.00000"/>
    <numFmt numFmtId="169" formatCode="0.0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b/>
      <i/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10"/>
      <color theme="1"/>
      <name val="PT Astra Serif"/>
      <family val="1"/>
      <charset val="204"/>
    </font>
    <font>
      <i/>
      <sz val="12"/>
      <color theme="1"/>
      <name val="PT Astra Serif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rgb="FFFF0000"/>
      <name val="PT Astra Serif"/>
      <family val="1"/>
      <charset val="204"/>
    </font>
    <font>
      <b/>
      <i/>
      <sz val="11"/>
      <color theme="1"/>
      <name val="PT Astra Serif"/>
      <family val="1"/>
      <charset val="204"/>
    </font>
    <font>
      <b/>
      <sz val="12"/>
      <name val="PT Astra Serif"/>
      <family val="1"/>
      <charset val="204"/>
    </font>
    <font>
      <b/>
      <sz val="12"/>
      <color rgb="FF000000"/>
      <name val="PT Astra Serif"/>
      <family val="1"/>
      <charset val="204"/>
    </font>
    <font>
      <sz val="12"/>
      <name val="PT Astra Serif"/>
      <family val="1"/>
      <charset val="204"/>
    </font>
    <font>
      <b/>
      <sz val="11"/>
      <color rgb="FF000000"/>
      <name val="PT Astra Serif"/>
      <family val="1"/>
      <charset val="204"/>
    </font>
    <font>
      <b/>
      <i/>
      <sz val="12"/>
      <name val="PT Astra Serif"/>
      <family val="1"/>
      <charset val="204"/>
    </font>
    <font>
      <b/>
      <i/>
      <sz val="11"/>
      <name val="PT Astra Serif"/>
      <family val="1"/>
      <charset val="204"/>
    </font>
    <font>
      <i/>
      <sz val="12"/>
      <name val="PT Astra Serif"/>
      <family val="1"/>
      <charset val="204"/>
    </font>
    <font>
      <sz val="12"/>
      <color rgb="FFC00000"/>
      <name val="PT Astra Serif"/>
      <family val="1"/>
      <charset val="204"/>
    </font>
    <font>
      <sz val="11"/>
      <name val="PT Astra Serif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rgb="FF000000"/>
      <name val="PT Astra Serif"/>
      <family val="1"/>
      <charset val="204"/>
    </font>
    <font>
      <sz val="10"/>
      <name val="Arial Cyr"/>
      <family val="2"/>
      <charset val="204"/>
    </font>
    <font>
      <b/>
      <sz val="11"/>
      <color theme="1"/>
      <name val="PT Astra Serif"/>
      <family val="1"/>
      <charset val="204"/>
    </font>
    <font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7" fillId="0" borderId="0"/>
  </cellStyleXfs>
  <cellXfs count="313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justify" vertical="center" wrapText="1"/>
    </xf>
    <xf numFmtId="2" fontId="4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/>
    </xf>
    <xf numFmtId="0" fontId="0" fillId="0" borderId="1" xfId="0" applyBorder="1"/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1" xfId="0" applyFont="1" applyBorder="1"/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0" fontId="0" fillId="0" borderId="1" xfId="0" applyFill="1" applyBorder="1"/>
    <xf numFmtId="0" fontId="12" fillId="0" borderId="1" xfId="0" applyFont="1" applyFill="1" applyBorder="1" applyAlignment="1">
      <alignment wrapText="1"/>
    </xf>
    <xf numFmtId="4" fontId="0" fillId="0" borderId="0" xfId="0" applyNumberFormat="1"/>
    <xf numFmtId="0" fontId="3" fillId="0" borderId="1" xfId="0" applyFont="1" applyBorder="1"/>
    <xf numFmtId="164" fontId="4" fillId="2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5" fontId="18" fillId="0" borderId="1" xfId="1" applyNumberFormat="1" applyFont="1" applyFill="1" applyBorder="1" applyAlignment="1">
      <alignment horizontal="center" vertical="center" wrapText="1"/>
    </xf>
    <xf numFmtId="165" fontId="17" fillId="0" borderId="1" xfId="1" applyNumberFormat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right" vertical="center" wrapText="1"/>
    </xf>
    <xf numFmtId="165" fontId="17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165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justify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justify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Fill="1"/>
    <xf numFmtId="164" fontId="5" fillId="0" borderId="0" xfId="0" applyNumberFormat="1" applyFont="1" applyFill="1"/>
    <xf numFmtId="4" fontId="5" fillId="0" borderId="0" xfId="0" applyNumberFormat="1" applyFont="1" applyFill="1"/>
    <xf numFmtId="166" fontId="6" fillId="2" borderId="1" xfId="1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166" fontId="5" fillId="0" borderId="0" xfId="0" applyNumberFormat="1" applyFont="1"/>
    <xf numFmtId="0" fontId="18" fillId="0" borderId="1" xfId="0" applyFont="1" applyBorder="1" applyAlignment="1">
      <alignment horizontal="justify" vertical="center" wrapText="1"/>
    </xf>
    <xf numFmtId="165" fontId="18" fillId="2" borderId="1" xfId="1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justify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164" fontId="18" fillId="2" borderId="1" xfId="1" applyNumberFormat="1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165" fontId="20" fillId="2" borderId="1" xfId="0" applyNumberFormat="1" applyFont="1" applyFill="1" applyBorder="1" applyAlignment="1">
      <alignment horizontal="center" vertical="center" wrapText="1"/>
    </xf>
    <xf numFmtId="164" fontId="20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/>
    <xf numFmtId="0" fontId="21" fillId="2" borderId="1" xfId="0" applyFont="1" applyFill="1" applyBorder="1" applyAlignment="1">
      <alignment horizontal="right"/>
    </xf>
    <xf numFmtId="165" fontId="21" fillId="2" borderId="1" xfId="0" applyNumberFormat="1" applyFont="1" applyFill="1" applyBorder="1" applyAlignment="1">
      <alignment horizontal="center"/>
    </xf>
    <xf numFmtId="164" fontId="21" fillId="2" borderId="1" xfId="0" applyNumberFormat="1" applyFont="1" applyFill="1" applyBorder="1" applyAlignment="1">
      <alignment horizontal="center"/>
    </xf>
    <xf numFmtId="4" fontId="6" fillId="2" borderId="1" xfId="1" applyNumberFormat="1" applyFont="1" applyFill="1" applyBorder="1" applyAlignment="1">
      <alignment horizontal="center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 wrapText="1"/>
    </xf>
    <xf numFmtId="4" fontId="17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165" fontId="17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/>
    <xf numFmtId="166" fontId="5" fillId="0" borderId="0" xfId="0" applyNumberFormat="1" applyFont="1" applyBorder="1"/>
    <xf numFmtId="0" fontId="5" fillId="0" borderId="0" xfId="0" applyFont="1" applyBorder="1"/>
    <xf numFmtId="0" fontId="6" fillId="0" borderId="1" xfId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/>
    </xf>
    <xf numFmtId="0" fontId="18" fillId="2" borderId="1" xfId="1" applyFont="1" applyFill="1" applyBorder="1" applyAlignment="1">
      <alignment horizontal="justify" vertical="center" wrapText="1"/>
    </xf>
    <xf numFmtId="165" fontId="15" fillId="0" borderId="1" xfId="0" applyNumberFormat="1" applyFont="1" applyBorder="1" applyAlignment="1">
      <alignment horizontal="center"/>
    </xf>
    <xf numFmtId="0" fontId="18" fillId="0" borderId="1" xfId="0" applyFont="1" applyFill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166" fontId="4" fillId="2" borderId="8" xfId="0" applyNumberFormat="1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left" vertical="center" wrapText="1"/>
    </xf>
    <xf numFmtId="166" fontId="0" fillId="0" borderId="0" xfId="0" applyNumberFormat="1"/>
    <xf numFmtId="165" fontId="3" fillId="0" borderId="0" xfId="0" applyNumberFormat="1" applyFont="1" applyFill="1"/>
    <xf numFmtId="168" fontId="0" fillId="0" borderId="0" xfId="0" applyNumberFormat="1"/>
    <xf numFmtId="168" fontId="25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4" fontId="6" fillId="0" borderId="0" xfId="1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4" fillId="0" borderId="0" xfId="0" applyFont="1"/>
    <xf numFmtId="4" fontId="5" fillId="0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5" fillId="0" borderId="0" xfId="1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5" fontId="3" fillId="0" borderId="0" xfId="0" applyNumberFormat="1" applyFont="1"/>
    <xf numFmtId="4" fontId="17" fillId="2" borderId="0" xfId="1" applyNumberFormat="1" applyFont="1" applyFill="1" applyBorder="1" applyAlignment="1">
      <alignment horizontal="center" vertical="center" wrapText="1"/>
    </xf>
    <xf numFmtId="4" fontId="6" fillId="3" borderId="0" xfId="1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0" fontId="5" fillId="0" borderId="9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26" fillId="2" borderId="1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" fontId="18" fillId="0" borderId="1" xfId="1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3" fillId="0" borderId="0" xfId="0" applyFont="1" applyBorder="1"/>
    <xf numFmtId="4" fontId="4" fillId="0" borderId="0" xfId="0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4" fontId="5" fillId="3" borderId="0" xfId="1" applyNumberFormat="1" applyFont="1" applyFill="1" applyBorder="1" applyAlignment="1">
      <alignment horizontal="center" vertical="center" wrapText="1"/>
    </xf>
    <xf numFmtId="4" fontId="18" fillId="0" borderId="0" xfId="1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17" fillId="0" borderId="0" xfId="1" applyNumberFormat="1" applyFont="1" applyFill="1" applyBorder="1" applyAlignment="1">
      <alignment horizontal="center" vertical="center" wrapText="1"/>
    </xf>
    <xf numFmtId="4" fontId="5" fillId="3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/>
    </xf>
    <xf numFmtId="164" fontId="3" fillId="0" borderId="0" xfId="0" applyNumberFormat="1" applyFont="1" applyBorder="1"/>
    <xf numFmtId="4" fontId="5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Fill="1" applyBorder="1"/>
    <xf numFmtId="4" fontId="26" fillId="2" borderId="14" xfId="1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/>
    </xf>
    <xf numFmtId="4" fontId="19" fillId="2" borderId="10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5" fontId="4" fillId="0" borderId="17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5" fontId="5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165" fontId="5" fillId="0" borderId="17" xfId="0" applyNumberFormat="1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5" fontId="16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168" fontId="3" fillId="0" borderId="0" xfId="0" applyNumberFormat="1" applyFont="1" applyBorder="1" applyAlignment="1">
      <alignment horizontal="center" vertical="center"/>
    </xf>
    <xf numFmtId="4" fontId="4" fillId="2" borderId="17" xfId="0" applyNumberFormat="1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4" fontId="16" fillId="2" borderId="5" xfId="0" applyNumberFormat="1" applyFont="1" applyFill="1" applyBorder="1" applyAlignment="1">
      <alignment horizontal="center" vertical="center" wrapText="1"/>
    </xf>
    <xf numFmtId="4" fontId="17" fillId="2" borderId="1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" fontId="18" fillId="2" borderId="1" xfId="1" applyNumberFormat="1" applyFont="1" applyFill="1" applyBorder="1" applyAlignment="1">
      <alignment horizontal="center" vertical="center" wrapText="1"/>
    </xf>
    <xf numFmtId="4" fontId="26" fillId="2" borderId="21" xfId="1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4" fontId="26" fillId="2" borderId="4" xfId="1" applyNumberFormat="1" applyFont="1" applyFill="1" applyBorder="1" applyAlignment="1">
      <alignment horizontal="center" vertical="center" wrapText="1"/>
    </xf>
    <xf numFmtId="4" fontId="26" fillId="0" borderId="4" xfId="1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/>
    </xf>
    <xf numFmtId="0" fontId="3" fillId="0" borderId="2" xfId="0" applyFont="1" applyBorder="1"/>
    <xf numFmtId="164" fontId="5" fillId="0" borderId="2" xfId="0" applyNumberFormat="1" applyFont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4" fontId="6" fillId="0" borderId="2" xfId="1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18" fillId="0" borderId="2" xfId="1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 wrapText="1"/>
    </xf>
    <xf numFmtId="164" fontId="4" fillId="0" borderId="26" xfId="0" applyNumberFormat="1" applyFont="1" applyFill="1" applyBorder="1" applyAlignment="1">
      <alignment horizontal="center" vertical="center" wrapText="1"/>
    </xf>
    <xf numFmtId="164" fontId="5" fillId="0" borderId="27" xfId="0" applyNumberFormat="1" applyFont="1" applyFill="1" applyBorder="1" applyAlignment="1">
      <alignment horizontal="center" vertical="center" wrapText="1"/>
    </xf>
    <xf numFmtId="164" fontId="4" fillId="0" borderId="27" xfId="0" applyNumberFormat="1" applyFont="1" applyFill="1" applyBorder="1" applyAlignment="1">
      <alignment horizontal="center" vertical="center" wrapText="1"/>
    </xf>
    <xf numFmtId="164" fontId="4" fillId="0" borderId="25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/>
    <xf numFmtId="166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8" fillId="0" borderId="4" xfId="1" applyFont="1" applyFill="1" applyBorder="1" applyAlignment="1">
      <alignment horizontal="justify" vertical="center" wrapText="1"/>
    </xf>
    <xf numFmtId="165" fontId="6" fillId="0" borderId="4" xfId="1" applyNumberFormat="1" applyFont="1" applyFill="1" applyBorder="1" applyAlignment="1">
      <alignment horizontal="center" vertical="center" wrapText="1"/>
    </xf>
    <xf numFmtId="164" fontId="6" fillId="0" borderId="23" xfId="1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/>
    </xf>
    <xf numFmtId="167" fontId="29" fillId="0" borderId="1" xfId="0" applyNumberFormat="1" applyFont="1" applyBorder="1" applyAlignment="1">
      <alignment horizontal="center" vertical="center" wrapText="1"/>
    </xf>
    <xf numFmtId="169" fontId="4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8" fillId="0" borderId="23" xfId="1" applyNumberFormat="1" applyFont="1" applyFill="1" applyBorder="1" applyAlignment="1">
      <alignment horizontal="center" vertical="center" wrapText="1"/>
    </xf>
    <xf numFmtId="164" fontId="18" fillId="0" borderId="25" xfId="1" applyNumberFormat="1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4" fontId="28" fillId="0" borderId="4" xfId="0" applyNumberFormat="1" applyFont="1" applyFill="1" applyBorder="1" applyAlignment="1">
      <alignment horizontal="center" vertical="center"/>
    </xf>
    <xf numFmtId="4" fontId="28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6" fillId="0" borderId="23" xfId="1" applyNumberFormat="1" applyFont="1" applyFill="1" applyBorder="1" applyAlignment="1">
      <alignment horizontal="center" vertical="center" wrapText="1"/>
    </xf>
    <xf numFmtId="164" fontId="6" fillId="0" borderId="25" xfId="1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8" fillId="0" borderId="4" xfId="1" applyFont="1" applyFill="1" applyBorder="1" applyAlignment="1">
      <alignment horizontal="justify" vertical="center" wrapText="1"/>
    </xf>
    <xf numFmtId="0" fontId="18" fillId="0" borderId="5" xfId="1" applyFont="1" applyFill="1" applyBorder="1" applyAlignment="1">
      <alignment horizontal="justify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 wrapText="1"/>
    </xf>
    <xf numFmtId="165" fontId="6" fillId="0" borderId="5" xfId="1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65" fontId="6" fillId="0" borderId="19" xfId="1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64" fontId="6" fillId="0" borderId="24" xfId="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enevceva.Alla\Desktop\&#1040;&#1042;&#1058;&#1054;&#1044;&#1054;&#1056;%20&#1058;&#1072;&#1073;&#1083;&#1080;&#1094;&#1072;%20&#1087;&#1086;%20&#1041;&#1050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4 дороги (проч)"/>
      <sheetName val="Приложение №5 дороги (рег пр)"/>
      <sheetName val="Свод"/>
    </sheetNames>
    <sheetDataSet>
      <sheetData sheetId="0" refreshError="1">
        <row r="69">
          <cell r="C69">
            <v>93.47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zoomScaleSheetLayoutView="100" workbookViewId="0">
      <selection activeCell="H10" sqref="H10"/>
    </sheetView>
  </sheetViews>
  <sheetFormatPr defaultColWidth="9.140625" defaultRowHeight="15" x14ac:dyDescent="0.25"/>
  <cols>
    <col min="1" max="1" width="6.140625" style="1" customWidth="1"/>
    <col min="2" max="2" width="83.42578125" style="1" customWidth="1"/>
    <col min="3" max="3" width="15.140625" style="1" customWidth="1"/>
    <col min="4" max="4" width="14.85546875" style="1" customWidth="1"/>
    <col min="5" max="5" width="14.42578125" style="1" customWidth="1"/>
    <col min="6" max="6" width="18.140625" style="17" customWidth="1"/>
    <col min="7" max="7" width="5.28515625" style="1" customWidth="1"/>
    <col min="8" max="8" width="10.42578125" style="1" customWidth="1"/>
    <col min="9" max="9" width="24.140625" style="1" customWidth="1"/>
    <col min="10" max="16384" width="9.140625" style="1"/>
  </cols>
  <sheetData>
    <row r="1" spans="1:6" ht="15.75" x14ac:dyDescent="0.25">
      <c r="F1" s="18" t="s">
        <v>24</v>
      </c>
    </row>
    <row r="3" spans="1:6" ht="31.5" customHeight="1" x14ac:dyDescent="0.25">
      <c r="A3" s="266" t="s">
        <v>89</v>
      </c>
      <c r="B3" s="266"/>
      <c r="C3" s="266"/>
      <c r="D3" s="266"/>
      <c r="E3" s="266"/>
      <c r="F3" s="266"/>
    </row>
    <row r="4" spans="1:6" ht="14.25" customHeight="1" x14ac:dyDescent="0.25">
      <c r="A4" s="250"/>
      <c r="B4" s="250"/>
      <c r="C4" s="250"/>
      <c r="D4" s="250"/>
      <c r="E4" s="250"/>
      <c r="F4" s="250"/>
    </row>
    <row r="5" spans="1:6" x14ac:dyDescent="0.25">
      <c r="A5" s="269" t="s">
        <v>31</v>
      </c>
      <c r="B5" s="269"/>
      <c r="C5" s="269"/>
      <c r="D5" s="269"/>
      <c r="E5" s="269"/>
      <c r="F5" s="269"/>
    </row>
    <row r="7" spans="1:6" ht="16.5" customHeight="1" x14ac:dyDescent="0.25">
      <c r="A7" s="267" t="s">
        <v>0</v>
      </c>
      <c r="B7" s="267" t="s">
        <v>1</v>
      </c>
      <c r="C7" s="267" t="s">
        <v>2</v>
      </c>
      <c r="D7" s="267" t="s">
        <v>3</v>
      </c>
      <c r="E7" s="267"/>
      <c r="F7" s="268" t="s">
        <v>161</v>
      </c>
    </row>
    <row r="8" spans="1:6" ht="15.75" x14ac:dyDescent="0.25">
      <c r="A8" s="267"/>
      <c r="B8" s="267"/>
      <c r="C8" s="267"/>
      <c r="D8" s="251" t="s">
        <v>4</v>
      </c>
      <c r="E8" s="251" t="s">
        <v>5</v>
      </c>
      <c r="F8" s="268"/>
    </row>
    <row r="9" spans="1:6" ht="17.45" customHeight="1" x14ac:dyDescent="0.25">
      <c r="A9" s="2"/>
      <c r="B9" s="251" t="s">
        <v>128</v>
      </c>
      <c r="C9" s="264"/>
      <c r="D9" s="4"/>
      <c r="E9" s="4"/>
      <c r="F9" s="45"/>
    </row>
    <row r="10" spans="1:6" ht="34.5" customHeight="1" x14ac:dyDescent="0.25">
      <c r="A10" s="4">
        <v>1</v>
      </c>
      <c r="B10" s="19" t="s">
        <v>202</v>
      </c>
      <c r="C10" s="262" t="s">
        <v>204</v>
      </c>
      <c r="D10" s="4" t="s">
        <v>7</v>
      </c>
      <c r="E10" s="4" t="s">
        <v>205</v>
      </c>
      <c r="F10" s="180">
        <f>(291810+17247710+151440)*1.2</f>
        <v>21229152</v>
      </c>
    </row>
    <row r="11" spans="1:6" ht="19.5" customHeight="1" x14ac:dyDescent="0.25">
      <c r="A11" s="2"/>
      <c r="B11" s="251" t="s">
        <v>9</v>
      </c>
      <c r="C11" s="263">
        <f>SUM(C10:C10)</f>
        <v>0</v>
      </c>
      <c r="D11" s="4"/>
      <c r="E11" s="4"/>
      <c r="F11" s="181">
        <f>SUM(F10:F10)</f>
        <v>21229152</v>
      </c>
    </row>
    <row r="12" spans="1:6" ht="24" customHeight="1" x14ac:dyDescent="0.25">
      <c r="A12" s="44"/>
      <c r="B12" s="251" t="s">
        <v>63</v>
      </c>
      <c r="C12" s="263">
        <f>C11</f>
        <v>0</v>
      </c>
      <c r="D12" s="265"/>
      <c r="E12" s="265"/>
      <c r="F12" s="181">
        <f>F11</f>
        <v>21229152</v>
      </c>
    </row>
  </sheetData>
  <mergeCells count="7">
    <mergeCell ref="A3:F3"/>
    <mergeCell ref="A7:A8"/>
    <mergeCell ref="B7:B8"/>
    <mergeCell ref="C7:C8"/>
    <mergeCell ref="D7:E7"/>
    <mergeCell ref="F7:F8"/>
    <mergeCell ref="A5:F5"/>
  </mergeCells>
  <pageMargins left="0.70866141732283472" right="0.70866141732283472" top="0.74803149606299213" bottom="0.74803149606299213" header="0.31496062992125984" footer="0.31496062992125984"/>
  <pageSetup paperSize="9" scale="86" fitToHeight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view="pageBreakPreview" topLeftCell="A71" zoomScaleNormal="100" zoomScaleSheetLayoutView="100" workbookViewId="0">
      <selection activeCell="B8" sqref="B8"/>
    </sheetView>
  </sheetViews>
  <sheetFormatPr defaultColWidth="9.140625" defaultRowHeight="15.75" x14ac:dyDescent="0.25"/>
  <cols>
    <col min="1" max="1" width="9.140625" style="62"/>
    <col min="2" max="2" width="72.28515625" style="62" customWidth="1"/>
    <col min="3" max="3" width="19.7109375" style="62" customWidth="1"/>
    <col min="4" max="4" width="10.140625" style="62" customWidth="1"/>
    <col min="5" max="5" width="13.28515625" style="62" customWidth="1"/>
    <col min="6" max="6" width="18.7109375" style="62" customWidth="1"/>
    <col min="7" max="7" width="12.42578125" style="62" customWidth="1"/>
    <col min="8" max="8" width="20.42578125" style="62" customWidth="1"/>
    <col min="9" max="9" width="27.85546875" style="62" customWidth="1"/>
    <col min="10" max="16384" width="9.140625" style="62"/>
  </cols>
  <sheetData>
    <row r="1" spans="1:9" x14ac:dyDescent="0.25">
      <c r="F1" s="62" t="s">
        <v>81</v>
      </c>
    </row>
    <row r="3" spans="1:9" ht="15.6" customHeight="1" x14ac:dyDescent="0.25">
      <c r="A3" s="271" t="s">
        <v>90</v>
      </c>
      <c r="B3" s="271"/>
      <c r="C3" s="271"/>
      <c r="D3" s="271"/>
      <c r="E3" s="271"/>
      <c r="F3" s="271"/>
    </row>
    <row r="4" spans="1:9" ht="15" customHeight="1" x14ac:dyDescent="0.25">
      <c r="A4" s="271"/>
      <c r="B4" s="271"/>
      <c r="C4" s="271"/>
      <c r="D4" s="271"/>
      <c r="E4" s="271"/>
      <c r="F4" s="271"/>
    </row>
    <row r="5" spans="1:9" ht="15" customHeight="1" x14ac:dyDescent="0.25">
      <c r="A5" s="271"/>
      <c r="B5" s="271"/>
      <c r="C5" s="271"/>
      <c r="D5" s="271"/>
      <c r="E5" s="271"/>
      <c r="F5" s="271"/>
    </row>
    <row r="6" spans="1:9" ht="15" customHeight="1" x14ac:dyDescent="0.25">
      <c r="A6" s="253"/>
      <c r="B6" s="253"/>
      <c r="C6" s="253"/>
      <c r="D6" s="253"/>
      <c r="E6" s="253"/>
      <c r="F6" s="253"/>
    </row>
    <row r="7" spans="1:9" ht="15" customHeight="1" x14ac:dyDescent="0.25">
      <c r="A7" s="269" t="s">
        <v>31</v>
      </c>
      <c r="B7" s="269"/>
      <c r="C7" s="269"/>
      <c r="D7" s="269"/>
      <c r="E7" s="269"/>
      <c r="F7" s="269"/>
    </row>
    <row r="8" spans="1:9" x14ac:dyDescent="0.25">
      <c r="A8" s="63"/>
      <c r="B8" s="63"/>
      <c r="C8" s="63"/>
      <c r="D8" s="63"/>
      <c r="E8" s="63"/>
      <c r="F8" s="64"/>
      <c r="G8" s="98"/>
      <c r="H8" s="98"/>
    </row>
    <row r="9" spans="1:9" ht="15.75" customHeight="1" x14ac:dyDescent="0.25">
      <c r="A9" s="272" t="s">
        <v>0</v>
      </c>
      <c r="B9" s="272" t="s">
        <v>1</v>
      </c>
      <c r="C9" s="272" t="s">
        <v>73</v>
      </c>
      <c r="D9" s="274" t="s">
        <v>3</v>
      </c>
      <c r="E9" s="275"/>
      <c r="F9" s="276" t="s">
        <v>161</v>
      </c>
      <c r="G9" s="270"/>
      <c r="H9" s="270"/>
      <c r="I9" s="270"/>
    </row>
    <row r="10" spans="1:9" x14ac:dyDescent="0.25">
      <c r="A10" s="273"/>
      <c r="B10" s="273"/>
      <c r="C10" s="273"/>
      <c r="D10" s="211" t="s">
        <v>4</v>
      </c>
      <c r="E10" s="211" t="s">
        <v>5</v>
      </c>
      <c r="F10" s="277"/>
      <c r="G10" s="270"/>
      <c r="H10" s="270"/>
      <c r="I10" s="270"/>
    </row>
    <row r="11" spans="1:9" x14ac:dyDescent="0.25">
      <c r="A11" s="8"/>
      <c r="B11" s="61" t="s">
        <v>131</v>
      </c>
      <c r="C11" s="10"/>
      <c r="D11" s="4"/>
      <c r="E11" s="4"/>
      <c r="F11" s="66"/>
      <c r="G11" s="98"/>
      <c r="H11" s="97"/>
    </row>
    <row r="12" spans="1:9" ht="63" x14ac:dyDescent="0.25">
      <c r="A12" s="8">
        <v>1</v>
      </c>
      <c r="B12" s="12" t="s">
        <v>166</v>
      </c>
      <c r="C12" s="10">
        <v>1.397</v>
      </c>
      <c r="D12" s="4" t="s">
        <v>7</v>
      </c>
      <c r="E12" s="4" t="s">
        <v>15</v>
      </c>
      <c r="F12" s="90">
        <v>4545380</v>
      </c>
      <c r="G12" s="96"/>
      <c r="H12" s="97"/>
    </row>
    <row r="13" spans="1:9" ht="63" x14ac:dyDescent="0.25">
      <c r="A13" s="8">
        <v>2</v>
      </c>
      <c r="B13" s="12" t="s">
        <v>132</v>
      </c>
      <c r="C13" s="10">
        <v>2.39</v>
      </c>
      <c r="D13" s="4" t="s">
        <v>7</v>
      </c>
      <c r="E13" s="4" t="s">
        <v>15</v>
      </c>
      <c r="F13" s="87">
        <f>C13*3000000</f>
        <v>7170000</v>
      </c>
      <c r="G13" s="67"/>
      <c r="H13" s="68"/>
    </row>
    <row r="14" spans="1:9" ht="63" x14ac:dyDescent="0.25">
      <c r="A14" s="114">
        <v>3</v>
      </c>
      <c r="B14" s="60" t="s">
        <v>167</v>
      </c>
      <c r="C14" s="124">
        <v>0.88</v>
      </c>
      <c r="D14" s="114" t="s">
        <v>7</v>
      </c>
      <c r="E14" s="114" t="s">
        <v>15</v>
      </c>
      <c r="F14" s="87">
        <f>C14*3000000</f>
        <v>2640000</v>
      </c>
      <c r="G14" s="67"/>
      <c r="H14" s="68"/>
    </row>
    <row r="15" spans="1:9" x14ac:dyDescent="0.25">
      <c r="A15" s="8"/>
      <c r="B15" s="61" t="s">
        <v>9</v>
      </c>
      <c r="C15" s="49">
        <f>C12+C13+C14</f>
        <v>4.6669999999999998</v>
      </c>
      <c r="D15" s="4"/>
      <c r="E15" s="4"/>
      <c r="F15" s="91">
        <f>F12+F13+F14</f>
        <v>14355380</v>
      </c>
      <c r="G15" s="67"/>
      <c r="H15" s="68"/>
    </row>
    <row r="16" spans="1:9" x14ac:dyDescent="0.25">
      <c r="A16" s="8"/>
      <c r="B16" s="61" t="s">
        <v>10</v>
      </c>
      <c r="C16" s="49"/>
      <c r="D16" s="4"/>
      <c r="E16" s="4"/>
      <c r="F16" s="91"/>
      <c r="G16" s="67"/>
      <c r="H16" s="68"/>
    </row>
    <row r="17" spans="1:8" ht="78.75" x14ac:dyDescent="0.25">
      <c r="A17" s="8">
        <v>4</v>
      </c>
      <c r="B17" s="12" t="s">
        <v>168</v>
      </c>
      <c r="C17" s="10">
        <v>2.8849999999999998</v>
      </c>
      <c r="D17" s="4" t="s">
        <v>75</v>
      </c>
      <c r="E17" s="4" t="s">
        <v>15</v>
      </c>
      <c r="F17" s="87">
        <f>C17*3000000</f>
        <v>8655000</v>
      </c>
      <c r="G17" s="67"/>
      <c r="H17" s="68"/>
    </row>
    <row r="18" spans="1:8" ht="63" x14ac:dyDescent="0.25">
      <c r="A18" s="8">
        <v>5</v>
      </c>
      <c r="B18" s="12" t="s">
        <v>169</v>
      </c>
      <c r="C18" s="10">
        <v>1.2450000000000001</v>
      </c>
      <c r="D18" s="4" t="s">
        <v>75</v>
      </c>
      <c r="E18" s="4" t="s">
        <v>15</v>
      </c>
      <c r="F18" s="87">
        <f>C18*3000000</f>
        <v>3735000</v>
      </c>
      <c r="G18" s="67"/>
      <c r="H18" s="68"/>
    </row>
    <row r="19" spans="1:8" ht="71.25" customHeight="1" x14ac:dyDescent="0.25">
      <c r="A19" s="8">
        <v>6</v>
      </c>
      <c r="B19" s="12" t="s">
        <v>133</v>
      </c>
      <c r="C19" s="10">
        <v>2.78</v>
      </c>
      <c r="D19" s="4" t="s">
        <v>75</v>
      </c>
      <c r="E19" s="4" t="s">
        <v>15</v>
      </c>
      <c r="F19" s="87">
        <f>C19*3000000</f>
        <v>8340000</v>
      </c>
      <c r="G19" s="67"/>
      <c r="H19" s="68"/>
    </row>
    <row r="20" spans="1:8" ht="78.75" x14ac:dyDescent="0.25">
      <c r="A20" s="8">
        <v>7</v>
      </c>
      <c r="B20" s="12" t="s">
        <v>170</v>
      </c>
      <c r="C20" s="10">
        <v>10.715</v>
      </c>
      <c r="D20" s="4" t="s">
        <v>75</v>
      </c>
      <c r="E20" s="4" t="s">
        <v>15</v>
      </c>
      <c r="F20" s="87">
        <f>C20*3000000</f>
        <v>32145000</v>
      </c>
      <c r="G20" s="67"/>
      <c r="H20" s="68"/>
    </row>
    <row r="21" spans="1:8" ht="63" x14ac:dyDescent="0.25">
      <c r="A21" s="8">
        <v>8</v>
      </c>
      <c r="B21" s="12" t="s">
        <v>171</v>
      </c>
      <c r="C21" s="10">
        <v>1.446</v>
      </c>
      <c r="D21" s="4" t="s">
        <v>76</v>
      </c>
      <c r="E21" s="4" t="s">
        <v>15</v>
      </c>
      <c r="F21" s="87">
        <v>4213940</v>
      </c>
      <c r="G21" s="67"/>
      <c r="H21" s="68"/>
    </row>
    <row r="22" spans="1:8" x14ac:dyDescent="0.25">
      <c r="A22" s="8"/>
      <c r="B22" s="61" t="s">
        <v>9</v>
      </c>
      <c r="C22" s="49">
        <f>C17+C18+C19+C20+C21</f>
        <v>19.071000000000002</v>
      </c>
      <c r="D22" s="4"/>
      <c r="E22" s="4"/>
      <c r="F22" s="91">
        <f>F17+F18+F19+F20+F21</f>
        <v>57088940</v>
      </c>
      <c r="G22" s="67"/>
      <c r="H22" s="68"/>
    </row>
    <row r="23" spans="1:8" x14ac:dyDescent="0.25">
      <c r="A23" s="53"/>
      <c r="B23" s="59" t="s">
        <v>74</v>
      </c>
      <c r="C23" s="54"/>
      <c r="D23" s="53"/>
      <c r="E23" s="53"/>
      <c r="F23" s="89"/>
    </row>
    <row r="24" spans="1:8" ht="76.5" customHeight="1" x14ac:dyDescent="0.25">
      <c r="A24" s="8">
        <v>9</v>
      </c>
      <c r="B24" s="24" t="s">
        <v>172</v>
      </c>
      <c r="C24" s="10">
        <v>2.6749999999999998</v>
      </c>
      <c r="D24" s="4" t="s">
        <v>76</v>
      </c>
      <c r="E24" s="4" t="s">
        <v>15</v>
      </c>
      <c r="F24" s="87">
        <f>C24*3000000</f>
        <v>8025000</v>
      </c>
      <c r="G24" s="67"/>
      <c r="H24" s="68"/>
    </row>
    <row r="25" spans="1:8" x14ac:dyDescent="0.25">
      <c r="A25" s="53"/>
      <c r="B25" s="59" t="s">
        <v>9</v>
      </c>
      <c r="C25" s="54">
        <f>C24</f>
        <v>2.6749999999999998</v>
      </c>
      <c r="D25" s="53"/>
      <c r="E25" s="53"/>
      <c r="F25" s="89">
        <f>F24</f>
        <v>8025000</v>
      </c>
      <c r="G25" s="67"/>
      <c r="H25" s="68"/>
    </row>
    <row r="26" spans="1:8" x14ac:dyDescent="0.25">
      <c r="A26" s="53"/>
      <c r="B26" s="59" t="s">
        <v>69</v>
      </c>
      <c r="C26" s="54"/>
      <c r="D26" s="53"/>
      <c r="E26" s="53"/>
      <c r="F26" s="89"/>
      <c r="H26" s="68"/>
    </row>
    <row r="27" spans="1:8" ht="60.75" customHeight="1" x14ac:dyDescent="0.25">
      <c r="A27" s="55">
        <v>10</v>
      </c>
      <c r="B27" s="24" t="s">
        <v>173</v>
      </c>
      <c r="C27" s="56">
        <v>0.81</v>
      </c>
      <c r="D27" s="4" t="s">
        <v>76</v>
      </c>
      <c r="E27" s="4" t="s">
        <v>15</v>
      </c>
      <c r="F27" s="123">
        <v>2936500</v>
      </c>
      <c r="G27" s="67"/>
      <c r="H27" s="68"/>
    </row>
    <row r="28" spans="1:8" ht="81.75" customHeight="1" x14ac:dyDescent="0.25">
      <c r="A28" s="55">
        <v>11</v>
      </c>
      <c r="B28" s="57" t="s">
        <v>154</v>
      </c>
      <c r="C28" s="56">
        <v>0.26</v>
      </c>
      <c r="D28" s="4" t="s">
        <v>76</v>
      </c>
      <c r="E28" s="4" t="s">
        <v>15</v>
      </c>
      <c r="F28" s="123">
        <v>1160780</v>
      </c>
      <c r="G28" s="67"/>
      <c r="H28" s="68"/>
    </row>
    <row r="29" spans="1:8" ht="66" customHeight="1" x14ac:dyDescent="0.25">
      <c r="A29" s="55">
        <v>12</v>
      </c>
      <c r="B29" s="24" t="s">
        <v>174</v>
      </c>
      <c r="C29" s="56">
        <v>0.65</v>
      </c>
      <c r="D29" s="4" t="s">
        <v>76</v>
      </c>
      <c r="E29" s="4" t="s">
        <v>15</v>
      </c>
      <c r="F29" s="123">
        <f>C29*3000000</f>
        <v>1950000</v>
      </c>
      <c r="G29" s="67"/>
      <c r="H29" s="68"/>
    </row>
    <row r="30" spans="1:8" ht="68.45" customHeight="1" x14ac:dyDescent="0.25">
      <c r="A30" s="55">
        <v>13</v>
      </c>
      <c r="B30" s="57" t="s">
        <v>175</v>
      </c>
      <c r="C30" s="58">
        <v>0.99</v>
      </c>
      <c r="D30" s="4" t="s">
        <v>76</v>
      </c>
      <c r="E30" s="4" t="s">
        <v>15</v>
      </c>
      <c r="F30" s="123">
        <f>C30*3000000</f>
        <v>2970000</v>
      </c>
      <c r="G30" s="67"/>
      <c r="H30" s="68"/>
    </row>
    <row r="31" spans="1:8" ht="16.899999999999999" customHeight="1" x14ac:dyDescent="0.25">
      <c r="A31" s="53"/>
      <c r="B31" s="61" t="s">
        <v>9</v>
      </c>
      <c r="C31" s="54">
        <f>C29+C28+C27+C30</f>
        <v>2.71</v>
      </c>
      <c r="D31" s="53"/>
      <c r="E31" s="53"/>
      <c r="F31" s="89">
        <f>F27+F28+F29+F30</f>
        <v>9017280</v>
      </c>
      <c r="G31" s="67"/>
      <c r="H31" s="68"/>
    </row>
    <row r="32" spans="1:8" x14ac:dyDescent="0.25">
      <c r="A32" s="53"/>
      <c r="B32" s="59" t="s">
        <v>26</v>
      </c>
      <c r="C32" s="54"/>
      <c r="D32" s="53"/>
      <c r="E32" s="53"/>
      <c r="F32" s="89"/>
      <c r="H32" s="68"/>
    </row>
    <row r="33" spans="1:8" ht="61.9" customHeight="1" x14ac:dyDescent="0.25">
      <c r="A33" s="8">
        <v>14</v>
      </c>
      <c r="B33" s="12" t="s">
        <v>176</v>
      </c>
      <c r="C33" s="10">
        <v>1.7869999999999999</v>
      </c>
      <c r="D33" s="4" t="s">
        <v>76</v>
      </c>
      <c r="E33" s="4" t="s">
        <v>15</v>
      </c>
      <c r="F33" s="90">
        <v>4890870</v>
      </c>
      <c r="G33" s="67"/>
      <c r="H33" s="68"/>
    </row>
    <row r="34" spans="1:8" ht="63" customHeight="1" x14ac:dyDescent="0.25">
      <c r="A34" s="8">
        <v>15</v>
      </c>
      <c r="B34" s="12" t="s">
        <v>177</v>
      </c>
      <c r="C34" s="10">
        <v>0.41</v>
      </c>
      <c r="D34" s="4" t="s">
        <v>76</v>
      </c>
      <c r="E34" s="4" t="s">
        <v>15</v>
      </c>
      <c r="F34" s="87">
        <f>C34*3000000</f>
        <v>1230000</v>
      </c>
      <c r="G34" s="67"/>
      <c r="H34" s="68"/>
    </row>
    <row r="35" spans="1:8" ht="63" customHeight="1" x14ac:dyDescent="0.25">
      <c r="A35" s="114">
        <v>16</v>
      </c>
      <c r="B35" s="60" t="s">
        <v>178</v>
      </c>
      <c r="C35" s="124">
        <v>2.95</v>
      </c>
      <c r="D35" s="114" t="s">
        <v>76</v>
      </c>
      <c r="E35" s="114" t="s">
        <v>15</v>
      </c>
      <c r="F35" s="87">
        <f>C35*3000000</f>
        <v>8850000</v>
      </c>
      <c r="G35" s="67"/>
      <c r="H35" s="68"/>
    </row>
    <row r="36" spans="1:8" ht="63" customHeight="1" x14ac:dyDescent="0.25">
      <c r="A36" s="114">
        <v>17</v>
      </c>
      <c r="B36" s="60" t="s">
        <v>179</v>
      </c>
      <c r="C36" s="124">
        <v>1.25</v>
      </c>
      <c r="D36" s="114" t="s">
        <v>76</v>
      </c>
      <c r="E36" s="114" t="s">
        <v>15</v>
      </c>
      <c r="F36" s="87">
        <f>C36*3000000</f>
        <v>3750000</v>
      </c>
      <c r="G36" s="67"/>
      <c r="H36" s="68"/>
    </row>
    <row r="37" spans="1:8" ht="63" customHeight="1" x14ac:dyDescent="0.25">
      <c r="A37" s="114">
        <v>18</v>
      </c>
      <c r="B37" s="60" t="s">
        <v>180</v>
      </c>
      <c r="C37" s="124">
        <v>1.37</v>
      </c>
      <c r="D37" s="114" t="s">
        <v>76</v>
      </c>
      <c r="E37" s="114" t="s">
        <v>15</v>
      </c>
      <c r="F37" s="87">
        <f>C37*3000000</f>
        <v>4110000</v>
      </c>
      <c r="G37" s="67"/>
      <c r="H37" s="68"/>
    </row>
    <row r="38" spans="1:8" ht="16.149999999999999" customHeight="1" x14ac:dyDescent="0.25">
      <c r="A38" s="8"/>
      <c r="B38" s="61" t="s">
        <v>9</v>
      </c>
      <c r="C38" s="49">
        <f>C33+C34+C35+C36+C37</f>
        <v>7.7670000000000003</v>
      </c>
      <c r="D38" s="4"/>
      <c r="E38" s="4"/>
      <c r="F38" s="91">
        <f>F33+F34+F35+F36+F37</f>
        <v>22830870</v>
      </c>
      <c r="G38" s="67"/>
      <c r="H38" s="68"/>
    </row>
    <row r="39" spans="1:8" x14ac:dyDescent="0.25">
      <c r="A39" s="53"/>
      <c r="B39" s="59" t="s">
        <v>70</v>
      </c>
      <c r="C39" s="54"/>
      <c r="D39" s="53"/>
      <c r="E39" s="53"/>
      <c r="F39" s="89"/>
      <c r="G39" s="98"/>
      <c r="H39" s="97"/>
    </row>
    <row r="40" spans="1:8" ht="63" customHeight="1" x14ac:dyDescent="0.25">
      <c r="A40" s="8">
        <v>19</v>
      </c>
      <c r="B40" s="60" t="s">
        <v>181</v>
      </c>
      <c r="C40" s="10">
        <v>1.645</v>
      </c>
      <c r="D40" s="4" t="s">
        <v>77</v>
      </c>
      <c r="E40" s="4" t="s">
        <v>15</v>
      </c>
      <c r="F40" s="87">
        <f>C40*3000000</f>
        <v>4935000</v>
      </c>
      <c r="G40" s="118"/>
      <c r="H40" s="118"/>
    </row>
    <row r="41" spans="1:8" ht="63" customHeight="1" x14ac:dyDescent="0.25">
      <c r="A41" s="114">
        <v>20</v>
      </c>
      <c r="B41" s="60" t="s">
        <v>182</v>
      </c>
      <c r="C41" s="124">
        <v>0.65</v>
      </c>
      <c r="D41" s="114" t="s">
        <v>77</v>
      </c>
      <c r="E41" s="114" t="s">
        <v>15</v>
      </c>
      <c r="F41" s="87">
        <f>C41*3000000</f>
        <v>1950000</v>
      </c>
      <c r="G41" s="118"/>
      <c r="H41" s="118"/>
    </row>
    <row r="42" spans="1:8" ht="64.5" customHeight="1" x14ac:dyDescent="0.25">
      <c r="A42" s="114">
        <v>21</v>
      </c>
      <c r="B42" s="60" t="s">
        <v>183</v>
      </c>
      <c r="C42" s="124">
        <v>1.2050000000000001</v>
      </c>
      <c r="D42" s="114" t="s">
        <v>77</v>
      </c>
      <c r="E42" s="114" t="s">
        <v>15</v>
      </c>
      <c r="F42" s="87">
        <f>C42*3000000</f>
        <v>3615000</v>
      </c>
      <c r="G42" s="118"/>
      <c r="H42" s="118"/>
    </row>
    <row r="43" spans="1:8" ht="61.5" customHeight="1" x14ac:dyDescent="0.25">
      <c r="A43" s="114">
        <v>22</v>
      </c>
      <c r="B43" s="60" t="s">
        <v>184</v>
      </c>
      <c r="C43" s="124">
        <v>1.4550000000000001</v>
      </c>
      <c r="D43" s="114" t="s">
        <v>77</v>
      </c>
      <c r="E43" s="114" t="s">
        <v>15</v>
      </c>
      <c r="F43" s="87">
        <f>C43*3000000</f>
        <v>4365000</v>
      </c>
      <c r="G43" s="118"/>
      <c r="H43" s="118"/>
    </row>
    <row r="44" spans="1:8" x14ac:dyDescent="0.25">
      <c r="A44" s="8"/>
      <c r="B44" s="61" t="s">
        <v>9</v>
      </c>
      <c r="C44" s="52">
        <f>C40+C41+C42+C43</f>
        <v>4.9550000000000001</v>
      </c>
      <c r="D44" s="4"/>
      <c r="E44" s="4"/>
      <c r="F44" s="91">
        <f>F40+F41+F42+F43</f>
        <v>14865000</v>
      </c>
      <c r="G44" s="96"/>
      <c r="H44" s="97"/>
    </row>
    <row r="45" spans="1:8" x14ac:dyDescent="0.25">
      <c r="A45" s="53"/>
      <c r="B45" s="59" t="s">
        <v>78</v>
      </c>
      <c r="C45" s="54"/>
      <c r="D45" s="53"/>
      <c r="E45" s="53"/>
      <c r="F45" s="89"/>
    </row>
    <row r="46" spans="1:8" ht="63" x14ac:dyDescent="0.25">
      <c r="A46" s="8">
        <v>23</v>
      </c>
      <c r="B46" s="12" t="s">
        <v>185</v>
      </c>
      <c r="C46" s="10">
        <v>0.74</v>
      </c>
      <c r="D46" s="4" t="s">
        <v>77</v>
      </c>
      <c r="E46" s="4" t="s">
        <v>15</v>
      </c>
      <c r="F46" s="90">
        <v>3339110</v>
      </c>
    </row>
    <row r="47" spans="1:8" ht="47.25" x14ac:dyDescent="0.25">
      <c r="A47" s="8">
        <v>24</v>
      </c>
      <c r="B47" s="12" t="s">
        <v>186</v>
      </c>
      <c r="C47" s="10">
        <v>0.81</v>
      </c>
      <c r="D47" s="4" t="s">
        <v>77</v>
      </c>
      <c r="E47" s="4" t="s">
        <v>15</v>
      </c>
      <c r="F47" s="87">
        <f>C47*3000000</f>
        <v>2430000</v>
      </c>
    </row>
    <row r="48" spans="1:8" ht="63" x14ac:dyDescent="0.25">
      <c r="A48" s="8">
        <v>25</v>
      </c>
      <c r="B48" s="12" t="s">
        <v>187</v>
      </c>
      <c r="C48" s="10">
        <v>0.60899999999999999</v>
      </c>
      <c r="D48" s="4" t="s">
        <v>77</v>
      </c>
      <c r="E48" s="4" t="s">
        <v>15</v>
      </c>
      <c r="F48" s="87">
        <f>C48*3000000</f>
        <v>1827000</v>
      </c>
    </row>
    <row r="49" spans="1:8" ht="63" x14ac:dyDescent="0.25">
      <c r="A49" s="8">
        <v>26</v>
      </c>
      <c r="B49" s="12" t="s">
        <v>188</v>
      </c>
      <c r="C49" s="10">
        <v>1.26</v>
      </c>
      <c r="D49" s="4" t="s">
        <v>77</v>
      </c>
      <c r="E49" s="4" t="s">
        <v>15</v>
      </c>
      <c r="F49" s="87">
        <f>C49*3000000</f>
        <v>3780000</v>
      </c>
    </row>
    <row r="50" spans="1:8" ht="63" x14ac:dyDescent="0.25">
      <c r="A50" s="8">
        <v>27</v>
      </c>
      <c r="B50" s="12" t="s">
        <v>189</v>
      </c>
      <c r="C50" s="10">
        <v>1.5149999999999999</v>
      </c>
      <c r="D50" s="4" t="s">
        <v>77</v>
      </c>
      <c r="E50" s="4" t="s">
        <v>15</v>
      </c>
      <c r="F50" s="87">
        <f>C50*3000000</f>
        <v>4545000</v>
      </c>
    </row>
    <row r="51" spans="1:8" x14ac:dyDescent="0.25">
      <c r="A51" s="8"/>
      <c r="B51" s="61" t="s">
        <v>9</v>
      </c>
      <c r="C51" s="49">
        <f>C46+C47+C48+C49+C50</f>
        <v>4.9340000000000002</v>
      </c>
      <c r="D51" s="4"/>
      <c r="E51" s="4"/>
      <c r="F51" s="91">
        <f>F46+F47+F48+F49+F50</f>
        <v>15921110</v>
      </c>
    </row>
    <row r="52" spans="1:8" x14ac:dyDescent="0.25">
      <c r="A52" s="8"/>
      <c r="B52" s="50" t="s">
        <v>134</v>
      </c>
      <c r="C52" s="49"/>
      <c r="D52" s="4"/>
      <c r="E52" s="4"/>
      <c r="F52" s="91"/>
      <c r="H52" s="68"/>
    </row>
    <row r="53" spans="1:8" ht="60" customHeight="1" x14ac:dyDescent="0.25">
      <c r="A53" s="8">
        <v>28</v>
      </c>
      <c r="B53" s="60" t="s">
        <v>190</v>
      </c>
      <c r="C53" s="10">
        <v>1</v>
      </c>
      <c r="D53" s="4" t="s">
        <v>79</v>
      </c>
      <c r="E53" s="4" t="s">
        <v>15</v>
      </c>
      <c r="F53" s="90">
        <v>1015820</v>
      </c>
      <c r="G53" s="67"/>
      <c r="H53" s="68"/>
    </row>
    <row r="54" spans="1:8" ht="61.5" customHeight="1" x14ac:dyDescent="0.25">
      <c r="A54" s="8">
        <v>29</v>
      </c>
      <c r="B54" s="12" t="s">
        <v>191</v>
      </c>
      <c r="C54" s="10">
        <v>1.5</v>
      </c>
      <c r="D54" s="4" t="s">
        <v>79</v>
      </c>
      <c r="E54" s="4" t="s">
        <v>15</v>
      </c>
      <c r="F54" s="90">
        <v>4882780</v>
      </c>
      <c r="G54" s="67"/>
      <c r="H54" s="68"/>
    </row>
    <row r="55" spans="1:8" ht="61.5" customHeight="1" x14ac:dyDescent="0.25">
      <c r="A55" s="8">
        <v>30</v>
      </c>
      <c r="B55" s="12" t="s">
        <v>192</v>
      </c>
      <c r="C55" s="10">
        <v>1.67</v>
      </c>
      <c r="D55" s="4" t="s">
        <v>79</v>
      </c>
      <c r="E55" s="4" t="s">
        <v>15</v>
      </c>
      <c r="F55" s="90">
        <v>3933370</v>
      </c>
      <c r="G55" s="67"/>
      <c r="H55" s="68"/>
    </row>
    <row r="56" spans="1:8" ht="67.150000000000006" customHeight="1" x14ac:dyDescent="0.25">
      <c r="A56" s="8">
        <v>31</v>
      </c>
      <c r="B56" s="12" t="s">
        <v>135</v>
      </c>
      <c r="C56" s="10">
        <v>1.44</v>
      </c>
      <c r="D56" s="4" t="s">
        <v>79</v>
      </c>
      <c r="E56" s="4" t="s">
        <v>15</v>
      </c>
      <c r="F56" s="87">
        <f>C56*3000000</f>
        <v>4320000</v>
      </c>
      <c r="G56" s="67"/>
      <c r="H56" s="68"/>
    </row>
    <row r="57" spans="1:8" x14ac:dyDescent="0.25">
      <c r="A57" s="8"/>
      <c r="B57" s="61" t="s">
        <v>9</v>
      </c>
      <c r="C57" s="52">
        <f>C53+C54+C56+C55</f>
        <v>5.61</v>
      </c>
      <c r="D57" s="4"/>
      <c r="E57" s="4"/>
      <c r="F57" s="88">
        <f>F53+F54+F56+F55</f>
        <v>14151970</v>
      </c>
      <c r="G57" s="67"/>
      <c r="H57" s="68"/>
    </row>
    <row r="58" spans="1:8" s="98" customFormat="1" hidden="1" x14ac:dyDescent="0.25">
      <c r="A58" s="92"/>
      <c r="B58" s="93"/>
      <c r="C58" s="94"/>
      <c r="D58" s="95"/>
      <c r="E58" s="95"/>
      <c r="F58" s="136"/>
      <c r="G58" s="96"/>
      <c r="H58" s="97"/>
    </row>
    <row r="59" spans="1:8" s="98" customFormat="1" hidden="1" x14ac:dyDescent="0.25">
      <c r="A59" s="92"/>
      <c r="B59" s="93"/>
      <c r="C59" s="94"/>
      <c r="D59" s="95"/>
      <c r="E59" s="95"/>
      <c r="F59" s="136"/>
      <c r="G59" s="96"/>
      <c r="H59" s="97"/>
    </row>
    <row r="60" spans="1:8" s="98" customFormat="1" hidden="1" x14ac:dyDescent="0.25">
      <c r="A60" s="92"/>
      <c r="B60" s="93"/>
      <c r="C60" s="94"/>
      <c r="D60" s="95"/>
      <c r="E60" s="95"/>
      <c r="F60" s="136"/>
      <c r="G60" s="96"/>
      <c r="H60" s="97"/>
    </row>
    <row r="61" spans="1:8" hidden="1" x14ac:dyDescent="0.25">
      <c r="A61" s="92"/>
      <c r="B61" s="93"/>
      <c r="C61" s="94"/>
      <c r="D61" s="95"/>
      <c r="E61" s="95"/>
      <c r="F61" s="136"/>
      <c r="G61" s="67"/>
      <c r="H61" s="68"/>
    </row>
    <row r="62" spans="1:8" x14ac:dyDescent="0.25">
      <c r="A62" s="8"/>
      <c r="B62" s="61" t="s">
        <v>136</v>
      </c>
      <c r="C62" s="49"/>
      <c r="D62" s="4"/>
      <c r="E62" s="4"/>
      <c r="F62" s="88"/>
      <c r="H62" s="68"/>
    </row>
    <row r="63" spans="1:8" ht="78.75" x14ac:dyDescent="0.25">
      <c r="A63" s="8">
        <v>32</v>
      </c>
      <c r="B63" s="12" t="s">
        <v>193</v>
      </c>
      <c r="C63" s="10">
        <v>3.335</v>
      </c>
      <c r="D63" s="4" t="s">
        <v>79</v>
      </c>
      <c r="E63" s="4" t="s">
        <v>15</v>
      </c>
      <c r="F63" s="123">
        <f>C63*3000000</f>
        <v>10005000</v>
      </c>
      <c r="G63" s="118"/>
      <c r="H63" s="119"/>
    </row>
    <row r="64" spans="1:8" x14ac:dyDescent="0.25">
      <c r="A64" s="8"/>
      <c r="B64" s="61" t="s">
        <v>9</v>
      </c>
      <c r="C64" s="49">
        <f>C63</f>
        <v>3.335</v>
      </c>
      <c r="D64" s="4"/>
      <c r="E64" s="4"/>
      <c r="F64" s="91">
        <f>F63</f>
        <v>10005000</v>
      </c>
      <c r="G64" s="67"/>
      <c r="H64" s="68"/>
    </row>
    <row r="65" spans="1:8" x14ac:dyDescent="0.25">
      <c r="A65" s="53"/>
      <c r="B65" s="59" t="s">
        <v>17</v>
      </c>
      <c r="C65" s="54"/>
      <c r="D65" s="53"/>
      <c r="E65" s="53"/>
      <c r="F65" s="89"/>
      <c r="G65" s="67"/>
      <c r="H65" s="68"/>
    </row>
    <row r="66" spans="1:8" ht="63" x14ac:dyDescent="0.25">
      <c r="A66" s="114">
        <v>33</v>
      </c>
      <c r="B66" s="60" t="s">
        <v>194</v>
      </c>
      <c r="C66" s="124">
        <v>1.81</v>
      </c>
      <c r="D66" s="114" t="s">
        <v>79</v>
      </c>
      <c r="E66" s="114" t="s">
        <v>15</v>
      </c>
      <c r="F66" s="87">
        <f>C66*3000000</f>
        <v>5430000</v>
      </c>
      <c r="G66" s="67"/>
      <c r="H66" s="68"/>
    </row>
    <row r="67" spans="1:8" ht="78.75" x14ac:dyDescent="0.25">
      <c r="A67" s="114">
        <v>34</v>
      </c>
      <c r="B67" s="60" t="s">
        <v>195</v>
      </c>
      <c r="C67" s="124">
        <v>3.6949999999999998</v>
      </c>
      <c r="D67" s="114" t="s">
        <v>79</v>
      </c>
      <c r="E67" s="114" t="s">
        <v>15</v>
      </c>
      <c r="F67" s="87">
        <v>9741200</v>
      </c>
      <c r="G67" s="67"/>
      <c r="H67" s="68"/>
    </row>
    <row r="68" spans="1:8" ht="63" x14ac:dyDescent="0.25">
      <c r="A68" s="114">
        <v>35</v>
      </c>
      <c r="B68" s="60" t="s">
        <v>137</v>
      </c>
      <c r="C68" s="124">
        <v>0.45</v>
      </c>
      <c r="D68" s="114" t="s">
        <v>61</v>
      </c>
      <c r="E68" s="114" t="s">
        <v>15</v>
      </c>
      <c r="F68" s="87">
        <v>3781380</v>
      </c>
      <c r="G68" s="67"/>
      <c r="H68" s="68"/>
    </row>
    <row r="69" spans="1:8" ht="78.75" x14ac:dyDescent="0.25">
      <c r="A69" s="114">
        <v>36</v>
      </c>
      <c r="B69" s="60" t="s">
        <v>138</v>
      </c>
      <c r="C69" s="124">
        <v>0.54700000000000004</v>
      </c>
      <c r="D69" s="114" t="s">
        <v>61</v>
      </c>
      <c r="E69" s="114" t="s">
        <v>15</v>
      </c>
      <c r="F69" s="87">
        <f>C69*3000000</f>
        <v>1641000</v>
      </c>
      <c r="G69" s="67"/>
      <c r="H69" s="68"/>
    </row>
    <row r="70" spans="1:8" x14ac:dyDescent="0.25">
      <c r="A70" s="8"/>
      <c r="B70" s="61" t="s">
        <v>9</v>
      </c>
      <c r="C70" s="49">
        <f>C66+C67+C68+C69</f>
        <v>6.5019999999999998</v>
      </c>
      <c r="D70" s="4"/>
      <c r="E70" s="4"/>
      <c r="F70" s="88">
        <f>F66+F67+F68+F69</f>
        <v>20593580</v>
      </c>
      <c r="G70" s="67"/>
      <c r="H70" s="68"/>
    </row>
    <row r="71" spans="1:8" x14ac:dyDescent="0.25">
      <c r="A71" s="53"/>
      <c r="B71" s="59" t="s">
        <v>19</v>
      </c>
      <c r="C71" s="54"/>
      <c r="D71" s="53"/>
      <c r="E71" s="53"/>
      <c r="F71" s="89"/>
      <c r="H71" s="68"/>
    </row>
    <row r="72" spans="1:8" ht="63.6" customHeight="1" x14ac:dyDescent="0.25">
      <c r="A72" s="8">
        <v>37</v>
      </c>
      <c r="B72" s="12" t="s">
        <v>196</v>
      </c>
      <c r="C72" s="10">
        <v>1.1299999999999999</v>
      </c>
      <c r="D72" s="114" t="s">
        <v>8</v>
      </c>
      <c r="E72" s="114" t="s">
        <v>15</v>
      </c>
      <c r="F72" s="90">
        <v>4747780</v>
      </c>
      <c r="G72" s="67"/>
      <c r="H72" s="68"/>
    </row>
    <row r="73" spans="1:8" ht="80.25" customHeight="1" x14ac:dyDescent="0.25">
      <c r="A73" s="8">
        <v>38</v>
      </c>
      <c r="B73" s="12" t="s">
        <v>139</v>
      </c>
      <c r="C73" s="10">
        <v>0.97</v>
      </c>
      <c r="D73" s="114" t="s">
        <v>8</v>
      </c>
      <c r="E73" s="114" t="s">
        <v>15</v>
      </c>
      <c r="F73" s="90">
        <v>2740510</v>
      </c>
      <c r="G73" s="67"/>
      <c r="H73" s="68"/>
    </row>
    <row r="74" spans="1:8" ht="66" customHeight="1" x14ac:dyDescent="0.25">
      <c r="A74" s="8">
        <v>39</v>
      </c>
      <c r="B74" s="12" t="s">
        <v>140</v>
      </c>
      <c r="C74" s="10">
        <v>0.71499999999999997</v>
      </c>
      <c r="D74" s="114" t="s">
        <v>8</v>
      </c>
      <c r="E74" s="114" t="s">
        <v>15</v>
      </c>
      <c r="F74" s="90">
        <v>2233660</v>
      </c>
      <c r="G74" s="67"/>
      <c r="H74" s="68"/>
    </row>
    <row r="75" spans="1:8" x14ac:dyDescent="0.25">
      <c r="A75" s="8"/>
      <c r="B75" s="61" t="s">
        <v>9</v>
      </c>
      <c r="C75" s="49">
        <f>C72+C73+C74</f>
        <v>2.8149999999999999</v>
      </c>
      <c r="D75" s="4"/>
      <c r="E75" s="4"/>
      <c r="F75" s="88">
        <f>F72+F73+F74</f>
        <v>9721950</v>
      </c>
      <c r="G75" s="67"/>
      <c r="H75" s="68"/>
    </row>
    <row r="76" spans="1:8" x14ac:dyDescent="0.25">
      <c r="A76" s="8"/>
      <c r="B76" s="51"/>
      <c r="C76" s="10"/>
      <c r="D76" s="4"/>
      <c r="E76" s="4"/>
      <c r="F76" s="87"/>
      <c r="G76" s="120"/>
    </row>
    <row r="77" spans="1:8" x14ac:dyDescent="0.25">
      <c r="A77" s="13"/>
      <c r="B77" s="14" t="s">
        <v>80</v>
      </c>
      <c r="C77" s="11">
        <f>C15+C22+C25+C31+C38+C44+C51+C57+C64+C70+C75</f>
        <v>65.040999999999997</v>
      </c>
      <c r="D77" s="211"/>
      <c r="E77" s="211"/>
      <c r="F77" s="91">
        <f>F15+F22+F25+F31+F38+F44+F51+F57+F64+F70+F75</f>
        <v>196576080</v>
      </c>
    </row>
    <row r="78" spans="1:8" x14ac:dyDescent="0.25">
      <c r="A78" s="63"/>
      <c r="B78" s="63"/>
      <c r="C78" s="63"/>
      <c r="D78" s="63"/>
      <c r="E78" s="63"/>
      <c r="F78" s="65"/>
    </row>
    <row r="79" spans="1:8" x14ac:dyDescent="0.25">
      <c r="F79" s="67"/>
    </row>
    <row r="80" spans="1:8" x14ac:dyDescent="0.25">
      <c r="F80" s="67"/>
    </row>
    <row r="81" spans="6:6" x14ac:dyDescent="0.25">
      <c r="F81" s="67"/>
    </row>
    <row r="82" spans="6:6" x14ac:dyDescent="0.25">
      <c r="F82" s="67"/>
    </row>
    <row r="84" spans="6:6" x14ac:dyDescent="0.25">
      <c r="F84" s="67"/>
    </row>
    <row r="85" spans="6:6" x14ac:dyDescent="0.25">
      <c r="F85" s="67"/>
    </row>
  </sheetData>
  <mergeCells count="10">
    <mergeCell ref="G9:G10"/>
    <mergeCell ref="H9:H10"/>
    <mergeCell ref="I9:I10"/>
    <mergeCell ref="A3:F5"/>
    <mergeCell ref="A7:F7"/>
    <mergeCell ref="A9:A10"/>
    <mergeCell ref="B9:B10"/>
    <mergeCell ref="C9:C10"/>
    <mergeCell ref="D9:E9"/>
    <mergeCell ref="F9:F10"/>
  </mergeCells>
  <pageMargins left="0.70866141732283472" right="0.70866141732283472" top="0.74803149606299213" bottom="0.62992125984251968" header="0.31496062992125984" footer="0.31496062992125984"/>
  <pageSetup paperSize="9" scale="87" fitToHeight="0" orientation="landscape" r:id="rId1"/>
  <rowBreaks count="5" manualBreakCount="5">
    <brk id="18" max="16383" man="1"/>
    <brk id="31" max="16383" man="1"/>
    <brk id="42" max="8" man="1"/>
    <brk id="54" max="8" man="1"/>
    <brk id="7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9"/>
  <sheetViews>
    <sheetView tabSelected="1" view="pageBreakPreview" zoomScaleNormal="100" zoomScaleSheetLayoutView="100" workbookViewId="0">
      <selection activeCell="N12" sqref="N12"/>
    </sheetView>
  </sheetViews>
  <sheetFormatPr defaultColWidth="9.140625" defaultRowHeight="15" x14ac:dyDescent="0.25"/>
  <cols>
    <col min="1" max="1" width="9.140625" style="1"/>
    <col min="2" max="2" width="60.140625" style="1" customWidth="1"/>
    <col min="3" max="3" width="15.42578125" style="1" customWidth="1"/>
    <col min="4" max="4" width="13.85546875" style="1" customWidth="1"/>
    <col min="5" max="5" width="13.7109375" style="1" customWidth="1"/>
    <col min="6" max="6" width="13.42578125" style="1" customWidth="1"/>
    <col min="7" max="7" width="21.5703125" style="17" customWidth="1"/>
    <col min="8" max="8" width="15.5703125" style="17" customWidth="1"/>
    <col min="9" max="9" width="0.140625" style="234" customWidth="1"/>
    <col min="10" max="10" width="0" style="1" hidden="1" customWidth="1"/>
    <col min="11" max="11" width="14" style="153" bestFit="1" customWidth="1"/>
    <col min="12" max="12" width="20.140625" style="1" customWidth="1"/>
    <col min="13" max="13" width="10.140625" style="1" bestFit="1" customWidth="1"/>
    <col min="14" max="16384" width="9.140625" style="1"/>
  </cols>
  <sheetData>
    <row r="1" spans="1:13" ht="15.75" x14ac:dyDescent="0.25">
      <c r="G1" s="18" t="s">
        <v>30</v>
      </c>
      <c r="H1" s="18"/>
    </row>
    <row r="2" spans="1:13" ht="66" customHeight="1" x14ac:dyDescent="0.25">
      <c r="A2" s="266" t="s">
        <v>91</v>
      </c>
      <c r="B2" s="266"/>
      <c r="C2" s="266"/>
      <c r="D2" s="266"/>
      <c r="E2" s="266"/>
      <c r="F2" s="266"/>
      <c r="G2" s="266"/>
      <c r="H2" s="1"/>
    </row>
    <row r="3" spans="1:13" ht="15" customHeight="1" x14ac:dyDescent="0.25">
      <c r="A3" s="250"/>
      <c r="B3" s="250"/>
      <c r="C3" s="250"/>
      <c r="D3" s="250"/>
      <c r="E3" s="250"/>
      <c r="F3" s="250"/>
      <c r="G3" s="250"/>
      <c r="H3" s="1"/>
    </row>
    <row r="4" spans="1:13" ht="16.5" customHeight="1" x14ac:dyDescent="0.25">
      <c r="A4" s="269" t="s">
        <v>87</v>
      </c>
      <c r="B4" s="269"/>
      <c r="C4" s="269"/>
      <c r="D4" s="269"/>
      <c r="E4" s="269"/>
      <c r="F4" s="269"/>
      <c r="G4" s="269"/>
      <c r="H4" s="1"/>
    </row>
    <row r="5" spans="1:13" ht="16.5" customHeight="1" x14ac:dyDescent="0.25">
      <c r="A5" s="252"/>
      <c r="B5" s="252"/>
      <c r="C5" s="252"/>
      <c r="D5" s="252"/>
      <c r="E5" s="252"/>
      <c r="F5" s="252"/>
      <c r="G5" s="252"/>
      <c r="H5" s="1"/>
    </row>
    <row r="6" spans="1:13" ht="15.75" customHeight="1" x14ac:dyDescent="0.25">
      <c r="A6" s="267" t="s">
        <v>0</v>
      </c>
      <c r="B6" s="267" t="s">
        <v>1</v>
      </c>
      <c r="C6" s="267" t="s">
        <v>2</v>
      </c>
      <c r="D6" s="267" t="s">
        <v>53</v>
      </c>
      <c r="E6" s="267" t="s">
        <v>3</v>
      </c>
      <c r="F6" s="267"/>
      <c r="G6" s="268" t="s">
        <v>161</v>
      </c>
      <c r="H6" s="278" t="s">
        <v>52</v>
      </c>
    </row>
    <row r="7" spans="1:13" ht="15.75" x14ac:dyDescent="0.25">
      <c r="A7" s="267"/>
      <c r="B7" s="267"/>
      <c r="C7" s="267"/>
      <c r="D7" s="267"/>
      <c r="E7" s="167" t="s">
        <v>4</v>
      </c>
      <c r="F7" s="167" t="s">
        <v>5</v>
      </c>
      <c r="G7" s="268"/>
      <c r="H7" s="278"/>
    </row>
    <row r="8" spans="1:13" ht="31.5" customHeight="1" x14ac:dyDescent="0.25">
      <c r="A8" s="267" t="s">
        <v>28</v>
      </c>
      <c r="B8" s="279"/>
      <c r="C8" s="279"/>
      <c r="D8" s="279"/>
      <c r="E8" s="279"/>
      <c r="F8" s="279"/>
      <c r="G8" s="279"/>
      <c r="H8" s="226"/>
      <c r="I8" s="235"/>
    </row>
    <row r="9" spans="1:13" ht="15.75" x14ac:dyDescent="0.25">
      <c r="A9" s="4"/>
      <c r="B9" s="167"/>
      <c r="C9" s="4"/>
      <c r="D9" s="4"/>
      <c r="E9" s="4"/>
      <c r="F9" s="4"/>
      <c r="G9" s="9"/>
      <c r="H9" s="227"/>
      <c r="I9" s="235"/>
    </row>
    <row r="10" spans="1:13" ht="15.75" x14ac:dyDescent="0.25">
      <c r="A10" s="4"/>
      <c r="B10" s="72" t="s">
        <v>84</v>
      </c>
      <c r="C10" s="167"/>
      <c r="D10" s="167"/>
      <c r="E10" s="4"/>
      <c r="F10" s="4"/>
      <c r="G10" s="5"/>
      <c r="H10" s="228"/>
      <c r="I10" s="235"/>
    </row>
    <row r="11" spans="1:13" ht="33.75" customHeight="1" x14ac:dyDescent="0.25">
      <c r="A11" s="8">
        <v>1</v>
      </c>
      <c r="B11" s="104" t="s">
        <v>200</v>
      </c>
      <c r="C11" s="10">
        <v>4.2300000000000004</v>
      </c>
      <c r="D11" s="99" t="s">
        <v>54</v>
      </c>
      <c r="E11" s="10" t="s">
        <v>75</v>
      </c>
      <c r="F11" s="8" t="s">
        <v>77</v>
      </c>
      <c r="G11" s="87">
        <v>60072242.68</v>
      </c>
      <c r="H11" s="229" t="s">
        <v>112</v>
      </c>
      <c r="I11" s="236">
        <v>60072242.68</v>
      </c>
      <c r="K11" s="118"/>
    </row>
    <row r="12" spans="1:13" ht="111.75" customHeight="1" x14ac:dyDescent="0.25">
      <c r="A12" s="8"/>
      <c r="B12" s="104"/>
      <c r="C12" s="10"/>
      <c r="D12" s="99"/>
      <c r="E12" s="10"/>
      <c r="F12" s="8"/>
      <c r="G12" s="217" t="s">
        <v>206</v>
      </c>
      <c r="H12" s="229"/>
      <c r="I12" s="236"/>
      <c r="K12" s="118"/>
      <c r="M12" s="138"/>
    </row>
    <row r="13" spans="1:13" ht="15.75" x14ac:dyDescent="0.25">
      <c r="A13" s="169"/>
      <c r="B13" s="169" t="s">
        <v>9</v>
      </c>
      <c r="C13" s="11">
        <f>SUM(C11:C11)</f>
        <v>4.2300000000000004</v>
      </c>
      <c r="D13" s="11"/>
      <c r="E13" s="4"/>
      <c r="F13" s="8"/>
      <c r="G13" s="115">
        <f>SUM(G11:G11)</f>
        <v>60072242.68</v>
      </c>
      <c r="H13" s="230"/>
      <c r="I13" s="236"/>
      <c r="K13" s="154"/>
    </row>
    <row r="14" spans="1:13" ht="15.75" x14ac:dyDescent="0.25">
      <c r="A14" s="8"/>
      <c r="B14" s="169" t="s">
        <v>20</v>
      </c>
      <c r="C14" s="169"/>
      <c r="D14" s="169"/>
      <c r="E14" s="4"/>
      <c r="F14" s="8"/>
      <c r="G14" s="5"/>
      <c r="H14" s="228"/>
      <c r="I14" s="236"/>
      <c r="K14" s="155"/>
    </row>
    <row r="15" spans="1:13" ht="30.75" customHeight="1" x14ac:dyDescent="0.25">
      <c r="A15" s="8">
        <v>2</v>
      </c>
      <c r="B15" s="104" t="s">
        <v>113</v>
      </c>
      <c r="C15" s="10">
        <v>4.4779999999999998</v>
      </c>
      <c r="D15" s="10" t="s">
        <v>54</v>
      </c>
      <c r="E15" s="10" t="s">
        <v>75</v>
      </c>
      <c r="F15" s="8" t="s">
        <v>79</v>
      </c>
      <c r="G15" s="87">
        <v>61293321.939999998</v>
      </c>
      <c r="H15" s="228" t="s">
        <v>92</v>
      </c>
      <c r="I15" s="236">
        <v>61293321.939999998</v>
      </c>
      <c r="K15" s="118"/>
      <c r="M15" s="138"/>
    </row>
    <row r="16" spans="1:13" ht="111" customHeight="1" x14ac:dyDescent="0.25">
      <c r="A16" s="8"/>
      <c r="B16" s="104"/>
      <c r="C16" s="10"/>
      <c r="D16" s="10"/>
      <c r="E16" s="10"/>
      <c r="F16" s="8"/>
      <c r="G16" s="217" t="s">
        <v>207</v>
      </c>
      <c r="H16" s="228"/>
      <c r="I16" s="236"/>
      <c r="K16" s="118"/>
    </row>
    <row r="17" spans="1:13" ht="15.75" x14ac:dyDescent="0.25">
      <c r="A17" s="169"/>
      <c r="B17" s="169" t="s">
        <v>9</v>
      </c>
      <c r="C17" s="11">
        <f>C15</f>
        <v>4.4779999999999998</v>
      </c>
      <c r="D17" s="99"/>
      <c r="E17" s="4"/>
      <c r="F17" s="8"/>
      <c r="G17" s="115">
        <f>G15</f>
        <v>61293321.939999998</v>
      </c>
      <c r="H17" s="230"/>
      <c r="I17" s="236"/>
      <c r="K17" s="154"/>
    </row>
    <row r="18" spans="1:13" ht="15.75" x14ac:dyDescent="0.25">
      <c r="A18" s="8"/>
      <c r="B18" s="169" t="s">
        <v>10</v>
      </c>
      <c r="C18" s="169"/>
      <c r="D18" s="169"/>
      <c r="E18" s="4"/>
      <c r="F18" s="8"/>
      <c r="G18" s="5"/>
      <c r="H18" s="228"/>
      <c r="I18" s="236"/>
      <c r="K18" s="155"/>
    </row>
    <row r="19" spans="1:13" ht="47.25" x14ac:dyDescent="0.25">
      <c r="A19" s="8">
        <v>3</v>
      </c>
      <c r="B19" s="71" t="s">
        <v>143</v>
      </c>
      <c r="C19" s="100">
        <v>4.375</v>
      </c>
      <c r="D19" s="100" t="s">
        <v>54</v>
      </c>
      <c r="E19" s="10" t="s">
        <v>7</v>
      </c>
      <c r="F19" s="8" t="s">
        <v>64</v>
      </c>
      <c r="G19" s="87">
        <v>59358356.520000003</v>
      </c>
      <c r="H19" s="228" t="s">
        <v>93</v>
      </c>
      <c r="I19" s="236">
        <f>58481139.43+352479.58</f>
        <v>58833619.009999998</v>
      </c>
      <c r="J19" s="7"/>
      <c r="K19" s="118"/>
      <c r="M19" s="138"/>
    </row>
    <row r="20" spans="1:13" ht="108.75" customHeight="1" x14ac:dyDescent="0.25">
      <c r="A20" s="8"/>
      <c r="B20" s="71"/>
      <c r="C20" s="100"/>
      <c r="D20" s="100"/>
      <c r="E20" s="10"/>
      <c r="F20" s="8"/>
      <c r="G20" s="217" t="s">
        <v>165</v>
      </c>
      <c r="H20" s="228"/>
      <c r="I20" s="236"/>
      <c r="J20" s="7"/>
      <c r="K20" s="118"/>
    </row>
    <row r="21" spans="1:13" ht="49.15" customHeight="1" x14ac:dyDescent="0.25">
      <c r="A21" s="8">
        <v>4</v>
      </c>
      <c r="B21" s="71" t="s">
        <v>199</v>
      </c>
      <c r="C21" s="10">
        <v>4.2300000000000004</v>
      </c>
      <c r="D21" s="100" t="s">
        <v>54</v>
      </c>
      <c r="E21" s="10" t="s">
        <v>7</v>
      </c>
      <c r="F21" s="8" t="s">
        <v>77</v>
      </c>
      <c r="G21" s="90">
        <v>57741472.630000003</v>
      </c>
      <c r="H21" s="228" t="s">
        <v>94</v>
      </c>
      <c r="I21" s="236">
        <v>57741472.630000003</v>
      </c>
      <c r="K21" s="118"/>
    </row>
    <row r="22" spans="1:13" ht="15.75" x14ac:dyDescent="0.25">
      <c r="A22" s="169"/>
      <c r="B22" s="169" t="s">
        <v>9</v>
      </c>
      <c r="C22" s="11">
        <f>C19+C21</f>
        <v>8.6050000000000004</v>
      </c>
      <c r="D22" s="99"/>
      <c r="E22" s="4"/>
      <c r="F22" s="8"/>
      <c r="G22" s="115">
        <f>G19+G21</f>
        <v>117099829.15000001</v>
      </c>
      <c r="H22" s="230"/>
      <c r="I22" s="236"/>
      <c r="K22" s="154"/>
    </row>
    <row r="23" spans="1:13" ht="15.75" x14ac:dyDescent="0.25">
      <c r="A23" s="8"/>
      <c r="B23" s="72" t="s">
        <v>12</v>
      </c>
      <c r="C23" s="169"/>
      <c r="D23" s="169"/>
      <c r="E23" s="4"/>
      <c r="F23" s="8"/>
      <c r="G23" s="5"/>
      <c r="H23" s="228"/>
      <c r="I23" s="236"/>
      <c r="K23" s="155"/>
    </row>
    <row r="24" spans="1:13" ht="31.5" x14ac:dyDescent="0.25">
      <c r="A24" s="8">
        <v>5</v>
      </c>
      <c r="B24" s="104" t="s">
        <v>114</v>
      </c>
      <c r="C24" s="10">
        <v>6.3289999999999997</v>
      </c>
      <c r="D24" s="10" t="s">
        <v>54</v>
      </c>
      <c r="E24" s="10" t="s">
        <v>7</v>
      </c>
      <c r="F24" s="8" t="s">
        <v>64</v>
      </c>
      <c r="G24" s="132">
        <v>88379879.319999993</v>
      </c>
      <c r="H24" s="228" t="s">
        <v>95</v>
      </c>
      <c r="I24" s="236">
        <v>87073772.730000004</v>
      </c>
      <c r="K24" s="133"/>
    </row>
    <row r="25" spans="1:13" ht="15.75" x14ac:dyDescent="0.25">
      <c r="A25" s="8"/>
      <c r="B25" s="72" t="s">
        <v>9</v>
      </c>
      <c r="C25" s="101">
        <f>C24</f>
        <v>6.3289999999999997</v>
      </c>
      <c r="D25" s="101"/>
      <c r="E25" s="4"/>
      <c r="F25" s="8"/>
      <c r="G25" s="115">
        <f>G24</f>
        <v>88379879.319999993</v>
      </c>
      <c r="H25" s="230"/>
      <c r="I25" s="236"/>
      <c r="K25" s="154"/>
    </row>
    <row r="26" spans="1:13" ht="15.75" x14ac:dyDescent="0.25">
      <c r="A26" s="8"/>
      <c r="B26" s="72" t="s">
        <v>85</v>
      </c>
      <c r="C26" s="169"/>
      <c r="D26" s="169"/>
      <c r="E26" s="4"/>
      <c r="F26" s="8"/>
      <c r="G26" s="5"/>
      <c r="H26" s="228"/>
      <c r="I26" s="236"/>
      <c r="K26" s="155"/>
    </row>
    <row r="27" spans="1:13" ht="31.5" x14ac:dyDescent="0.25">
      <c r="A27" s="8">
        <v>6</v>
      </c>
      <c r="B27" s="71" t="s">
        <v>115</v>
      </c>
      <c r="C27" s="124">
        <v>6.7519999999999998</v>
      </c>
      <c r="D27" s="70" t="s">
        <v>55</v>
      </c>
      <c r="E27" s="124" t="s">
        <v>7</v>
      </c>
      <c r="F27" s="114" t="s">
        <v>77</v>
      </c>
      <c r="G27" s="143">
        <v>120219071</v>
      </c>
      <c r="H27" s="228" t="s">
        <v>96</v>
      </c>
      <c r="I27" s="236">
        <v>120219071.12</v>
      </c>
      <c r="K27" s="156"/>
      <c r="M27" s="138"/>
    </row>
    <row r="28" spans="1:13" ht="110.25" customHeight="1" x14ac:dyDescent="0.25">
      <c r="A28" s="8"/>
      <c r="B28" s="71"/>
      <c r="C28" s="124"/>
      <c r="D28" s="70"/>
      <c r="E28" s="124"/>
      <c r="F28" s="114"/>
      <c r="G28" s="217" t="s">
        <v>208</v>
      </c>
      <c r="H28" s="228"/>
      <c r="I28" s="236"/>
      <c r="K28" s="156"/>
    </row>
    <row r="29" spans="1:13" s="152" customFormat="1" ht="48.75" customHeight="1" x14ac:dyDescent="0.25">
      <c r="A29" s="150">
        <v>7</v>
      </c>
      <c r="B29" s="106" t="s">
        <v>198</v>
      </c>
      <c r="C29" s="48">
        <v>1</v>
      </c>
      <c r="D29" s="48" t="s">
        <v>55</v>
      </c>
      <c r="E29" s="48" t="s">
        <v>77</v>
      </c>
      <c r="F29" s="150" t="s">
        <v>77</v>
      </c>
      <c r="G29" s="151">
        <v>18529971.039999999</v>
      </c>
      <c r="H29" s="231" t="s">
        <v>150</v>
      </c>
      <c r="I29" s="236">
        <v>18529971.039999999</v>
      </c>
      <c r="K29" s="157"/>
    </row>
    <row r="30" spans="1:13" ht="15.75" x14ac:dyDescent="0.25">
      <c r="A30" s="8"/>
      <c r="B30" s="72" t="s">
        <v>9</v>
      </c>
      <c r="C30" s="101">
        <f>C27+C29</f>
        <v>7.7519999999999998</v>
      </c>
      <c r="D30" s="101"/>
      <c r="E30" s="4"/>
      <c r="F30" s="8"/>
      <c r="G30" s="115">
        <f>G27+G29</f>
        <v>138749042.03999999</v>
      </c>
      <c r="H30" s="230"/>
      <c r="I30" s="236"/>
      <c r="K30" s="154"/>
    </row>
    <row r="31" spans="1:13" ht="15.75" x14ac:dyDescent="0.25">
      <c r="A31" s="8"/>
      <c r="B31" s="72" t="s">
        <v>14</v>
      </c>
      <c r="C31" s="169"/>
      <c r="D31" s="169"/>
      <c r="E31" s="4"/>
      <c r="F31" s="8"/>
      <c r="G31" s="5"/>
      <c r="H31" s="228"/>
      <c r="I31" s="236"/>
      <c r="K31" s="155"/>
    </row>
    <row r="32" spans="1:13" ht="31.5" x14ac:dyDescent="0.25">
      <c r="A32" s="8">
        <v>8</v>
      </c>
      <c r="B32" s="104" t="s">
        <v>116</v>
      </c>
      <c r="C32" s="10">
        <v>8.81</v>
      </c>
      <c r="D32" s="10" t="s">
        <v>54</v>
      </c>
      <c r="E32" s="10" t="s">
        <v>7</v>
      </c>
      <c r="F32" s="8" t="s">
        <v>64</v>
      </c>
      <c r="G32" s="90">
        <v>155967339.34</v>
      </c>
      <c r="H32" s="228" t="s">
        <v>97</v>
      </c>
      <c r="I32" s="236">
        <v>153662403.28999999</v>
      </c>
      <c r="K32" s="118"/>
    </row>
    <row r="33" spans="1:13" ht="15.75" x14ac:dyDescent="0.25">
      <c r="A33" s="8"/>
      <c r="B33" s="72" t="s">
        <v>9</v>
      </c>
      <c r="C33" s="101">
        <f>SUM(C32:C32)</f>
        <v>8.81</v>
      </c>
      <c r="D33" s="101"/>
      <c r="E33" s="4"/>
      <c r="F33" s="8"/>
      <c r="G33" s="115">
        <f>SUM(G32:G32)</f>
        <v>155967339.34</v>
      </c>
      <c r="H33" s="230"/>
      <c r="I33" s="236"/>
      <c r="K33" s="154"/>
    </row>
    <row r="34" spans="1:13" ht="15.75" x14ac:dyDescent="0.25">
      <c r="A34" s="8"/>
      <c r="B34" s="169" t="s">
        <v>70</v>
      </c>
      <c r="C34" s="169"/>
      <c r="D34" s="169"/>
      <c r="E34" s="4"/>
      <c r="F34" s="8"/>
      <c r="G34" s="5"/>
      <c r="H34" s="228"/>
      <c r="I34" s="236"/>
      <c r="K34" s="155"/>
    </row>
    <row r="35" spans="1:13" ht="47.25" x14ac:dyDescent="0.25">
      <c r="A35" s="8">
        <v>9</v>
      </c>
      <c r="B35" s="71" t="s">
        <v>117</v>
      </c>
      <c r="C35" s="124">
        <v>1.9</v>
      </c>
      <c r="D35" s="70" t="s">
        <v>55</v>
      </c>
      <c r="E35" s="124" t="s">
        <v>75</v>
      </c>
      <c r="F35" s="114" t="s">
        <v>77</v>
      </c>
      <c r="G35" s="87">
        <v>34359515.969999999</v>
      </c>
      <c r="H35" s="228" t="s">
        <v>98</v>
      </c>
      <c r="I35" s="236">
        <v>34359515.969999999</v>
      </c>
      <c r="K35" s="137"/>
      <c r="M35" s="138"/>
    </row>
    <row r="36" spans="1:13" ht="114.75" customHeight="1" x14ac:dyDescent="0.25">
      <c r="A36" s="8"/>
      <c r="B36" s="71"/>
      <c r="C36" s="124"/>
      <c r="D36" s="70"/>
      <c r="E36" s="124"/>
      <c r="F36" s="114"/>
      <c r="G36" s="217" t="s">
        <v>209</v>
      </c>
      <c r="H36" s="228"/>
      <c r="I36" s="236"/>
      <c r="K36" s="137"/>
    </row>
    <row r="37" spans="1:13" ht="15.75" x14ac:dyDescent="0.25">
      <c r="A37" s="8"/>
      <c r="B37" s="72" t="s">
        <v>9</v>
      </c>
      <c r="C37" s="101">
        <f>C35</f>
        <v>1.9</v>
      </c>
      <c r="D37" s="101"/>
      <c r="E37" s="4"/>
      <c r="F37" s="8"/>
      <c r="G37" s="115">
        <f>G35</f>
        <v>34359515.969999999</v>
      </c>
      <c r="H37" s="230"/>
      <c r="I37" s="236"/>
      <c r="K37" s="154"/>
    </row>
    <row r="38" spans="1:13" ht="15.75" x14ac:dyDescent="0.25">
      <c r="A38" s="8"/>
      <c r="B38" s="169" t="s">
        <v>26</v>
      </c>
      <c r="C38" s="101"/>
      <c r="D38" s="101"/>
      <c r="E38" s="4"/>
      <c r="F38" s="8"/>
      <c r="G38" s="115"/>
      <c r="H38" s="230"/>
      <c r="I38" s="236"/>
      <c r="K38" s="154"/>
    </row>
    <row r="39" spans="1:13" ht="49.5" customHeight="1" x14ac:dyDescent="0.25">
      <c r="A39" s="8">
        <v>10</v>
      </c>
      <c r="B39" s="130" t="s">
        <v>118</v>
      </c>
      <c r="C39" s="10">
        <v>6.51</v>
      </c>
      <c r="D39" s="10" t="s">
        <v>54</v>
      </c>
      <c r="E39" s="10" t="s">
        <v>7</v>
      </c>
      <c r="F39" s="8" t="s">
        <v>64</v>
      </c>
      <c r="G39" s="121">
        <v>90064868.019999996</v>
      </c>
      <c r="H39" s="228" t="s">
        <v>99</v>
      </c>
      <c r="I39" s="236">
        <v>88733860.120000005</v>
      </c>
      <c r="K39" s="158"/>
    </row>
    <row r="40" spans="1:13" ht="15.75" x14ac:dyDescent="0.25">
      <c r="A40" s="8"/>
      <c r="B40" s="72" t="s">
        <v>9</v>
      </c>
      <c r="C40" s="101">
        <f>C39</f>
        <v>6.51</v>
      </c>
      <c r="D40" s="101"/>
      <c r="E40" s="4"/>
      <c r="F40" s="8"/>
      <c r="G40" s="115">
        <f>G39</f>
        <v>90064868.019999996</v>
      </c>
      <c r="H40" s="230"/>
      <c r="I40" s="236"/>
      <c r="K40" s="154"/>
    </row>
    <row r="41" spans="1:13" ht="15.75" x14ac:dyDescent="0.25">
      <c r="A41" s="8"/>
      <c r="B41" s="72" t="s">
        <v>51</v>
      </c>
      <c r="C41" s="167"/>
      <c r="D41" s="167"/>
      <c r="E41" s="4"/>
      <c r="F41" s="8"/>
      <c r="G41" s="5"/>
      <c r="H41" s="228"/>
      <c r="I41" s="236"/>
      <c r="K41" s="155"/>
    </row>
    <row r="42" spans="1:13" ht="47.25" x14ac:dyDescent="0.25">
      <c r="A42" s="8">
        <v>11</v>
      </c>
      <c r="B42" s="71" t="s">
        <v>120</v>
      </c>
      <c r="C42" s="10">
        <v>3.742</v>
      </c>
      <c r="D42" s="48" t="s">
        <v>55</v>
      </c>
      <c r="E42" s="10" t="s">
        <v>7</v>
      </c>
      <c r="F42" s="8" t="s">
        <v>64</v>
      </c>
      <c r="G42" s="87">
        <f>36613424.37+46343343.19</f>
        <v>82956767.560000002</v>
      </c>
      <c r="H42" s="228" t="s">
        <v>100</v>
      </c>
      <c r="I42" s="236">
        <f>36072339.28+45658466.2+684734.97</f>
        <v>82415540.450000003</v>
      </c>
      <c r="K42" s="137"/>
      <c r="M42" s="138"/>
    </row>
    <row r="43" spans="1:13" ht="112.5" customHeight="1" x14ac:dyDescent="0.25">
      <c r="A43" s="8"/>
      <c r="B43" s="71"/>
      <c r="C43" s="10"/>
      <c r="D43" s="48"/>
      <c r="E43" s="10"/>
      <c r="F43" s="8"/>
      <c r="G43" s="217" t="s">
        <v>156</v>
      </c>
      <c r="H43" s="228"/>
      <c r="I43" s="236"/>
      <c r="K43" s="118"/>
    </row>
    <row r="44" spans="1:13" ht="31.5" x14ac:dyDescent="0.25">
      <c r="A44" s="8">
        <v>12</v>
      </c>
      <c r="B44" s="71" t="s">
        <v>101</v>
      </c>
      <c r="C44" s="10">
        <v>3</v>
      </c>
      <c r="D44" s="48" t="s">
        <v>55</v>
      </c>
      <c r="E44" s="10" t="s">
        <v>7</v>
      </c>
      <c r="F44" s="8" t="s">
        <v>64</v>
      </c>
      <c r="G44" s="90">
        <v>52085305.090000004</v>
      </c>
      <c r="H44" s="228" t="s">
        <v>102</v>
      </c>
      <c r="I44" s="236">
        <v>51315571.520000003</v>
      </c>
      <c r="K44" s="118"/>
    </row>
    <row r="45" spans="1:13" ht="47.25" x14ac:dyDescent="0.25">
      <c r="A45" s="8">
        <v>13</v>
      </c>
      <c r="B45" s="71" t="s">
        <v>119</v>
      </c>
      <c r="C45" s="10">
        <v>1.7</v>
      </c>
      <c r="D45" s="10" t="s">
        <v>54</v>
      </c>
      <c r="E45" s="10" t="s">
        <v>7</v>
      </c>
      <c r="F45" s="8" t="s">
        <v>64</v>
      </c>
      <c r="G45" s="90">
        <v>29186235.530000001</v>
      </c>
      <c r="H45" s="228" t="s">
        <v>103</v>
      </c>
      <c r="I45" s="236">
        <v>29186235.530000001</v>
      </c>
      <c r="K45" s="118"/>
    </row>
    <row r="46" spans="1:13" ht="15.75" x14ac:dyDescent="0.25">
      <c r="A46" s="8"/>
      <c r="B46" s="72" t="s">
        <v>9</v>
      </c>
      <c r="C46" s="101">
        <f>C42+C44+C45</f>
        <v>8.4420000000000002</v>
      </c>
      <c r="D46" s="101"/>
      <c r="E46" s="4"/>
      <c r="F46" s="8"/>
      <c r="G46" s="115">
        <f>G42+G44+G45</f>
        <v>164228308.18000001</v>
      </c>
      <c r="H46" s="230"/>
      <c r="I46" s="236"/>
      <c r="K46" s="154"/>
    </row>
    <row r="47" spans="1:13" ht="15.75" x14ac:dyDescent="0.25">
      <c r="A47" s="8"/>
      <c r="B47" s="72" t="s">
        <v>86</v>
      </c>
      <c r="C47" s="167"/>
      <c r="D47" s="167"/>
      <c r="E47" s="4"/>
      <c r="F47" s="4"/>
      <c r="G47" s="5"/>
      <c r="H47" s="228"/>
      <c r="I47" s="236"/>
      <c r="K47" s="155"/>
    </row>
    <row r="48" spans="1:13" ht="33.6" customHeight="1" x14ac:dyDescent="0.25">
      <c r="A48" s="8">
        <v>14</v>
      </c>
      <c r="B48" s="71" t="s">
        <v>104</v>
      </c>
      <c r="C48" s="10">
        <v>6.0359999999999996</v>
      </c>
      <c r="D48" s="10" t="s">
        <v>54</v>
      </c>
      <c r="E48" s="10" t="s">
        <v>7</v>
      </c>
      <c r="F48" s="8" t="s">
        <v>64</v>
      </c>
      <c r="G48" s="132">
        <v>84746393.620000005</v>
      </c>
      <c r="H48" s="228" t="s">
        <v>105</v>
      </c>
      <c r="I48" s="236">
        <v>83493983.859999999</v>
      </c>
      <c r="K48" s="133"/>
    </row>
    <row r="49" spans="1:13" ht="15.75" x14ac:dyDescent="0.25">
      <c r="A49" s="8"/>
      <c r="B49" s="72" t="s">
        <v>9</v>
      </c>
      <c r="C49" s="49">
        <f>C48</f>
        <v>6.0359999999999996</v>
      </c>
      <c r="D49" s="10"/>
      <c r="E49" s="10"/>
      <c r="F49" s="4"/>
      <c r="G49" s="91">
        <f>G48</f>
        <v>84746393.620000005</v>
      </c>
      <c r="H49" s="228"/>
      <c r="I49" s="236"/>
      <c r="K49" s="159"/>
    </row>
    <row r="50" spans="1:13" ht="15.75" x14ac:dyDescent="0.25">
      <c r="A50" s="8"/>
      <c r="B50" s="167" t="s">
        <v>22</v>
      </c>
      <c r="C50" s="167"/>
      <c r="D50" s="167"/>
      <c r="E50" s="4"/>
      <c r="F50" s="4"/>
      <c r="G50" s="5"/>
      <c r="H50" s="228"/>
      <c r="I50" s="236"/>
      <c r="K50" s="155"/>
    </row>
    <row r="51" spans="1:13" ht="47.25" x14ac:dyDescent="0.25">
      <c r="A51" s="8">
        <v>15</v>
      </c>
      <c r="B51" s="71" t="s">
        <v>142</v>
      </c>
      <c r="C51" s="100">
        <v>11.01</v>
      </c>
      <c r="D51" s="147" t="s">
        <v>65</v>
      </c>
      <c r="E51" s="124" t="s">
        <v>75</v>
      </c>
      <c r="F51" s="114" t="s">
        <v>77</v>
      </c>
      <c r="G51" s="87">
        <v>163676522.28</v>
      </c>
      <c r="H51" s="231" t="s">
        <v>124</v>
      </c>
      <c r="I51" s="236">
        <v>163676522.28</v>
      </c>
      <c r="K51" s="137"/>
      <c r="M51" s="138"/>
    </row>
    <row r="52" spans="1:13" ht="112.5" customHeight="1" x14ac:dyDescent="0.25">
      <c r="A52" s="8"/>
      <c r="B52" s="71"/>
      <c r="C52" s="146"/>
      <c r="D52" s="147"/>
      <c r="E52" s="124"/>
      <c r="F52" s="114"/>
      <c r="G52" s="217" t="s">
        <v>210</v>
      </c>
      <c r="H52" s="231"/>
      <c r="I52" s="236"/>
      <c r="K52" s="137"/>
    </row>
    <row r="53" spans="1:13" ht="15.75" x14ac:dyDescent="0.25">
      <c r="A53" s="8"/>
      <c r="B53" s="167" t="s">
        <v>9</v>
      </c>
      <c r="C53" s="101">
        <f>C51</f>
        <v>11.01</v>
      </c>
      <c r="D53" s="101"/>
      <c r="E53" s="4"/>
      <c r="F53" s="4"/>
      <c r="G53" s="115">
        <f>G51</f>
        <v>163676522.28</v>
      </c>
      <c r="H53" s="230"/>
      <c r="I53" s="236"/>
      <c r="K53" s="154"/>
    </row>
    <row r="54" spans="1:13" ht="15.75" x14ac:dyDescent="0.25">
      <c r="A54" s="8"/>
      <c r="B54" s="167" t="s">
        <v>16</v>
      </c>
      <c r="C54" s="167"/>
      <c r="D54" s="167"/>
      <c r="E54" s="4"/>
      <c r="F54" s="4"/>
      <c r="G54" s="5"/>
      <c r="H54" s="228"/>
      <c r="I54" s="236"/>
      <c r="K54" s="155"/>
    </row>
    <row r="55" spans="1:13" ht="63" x14ac:dyDescent="0.25">
      <c r="A55" s="8">
        <v>16</v>
      </c>
      <c r="B55" s="71" t="s">
        <v>151</v>
      </c>
      <c r="C55" s="100">
        <v>2.4700000000000002</v>
      </c>
      <c r="D55" s="100" t="s">
        <v>54</v>
      </c>
      <c r="E55" s="10" t="s">
        <v>75</v>
      </c>
      <c r="F55" s="8" t="s">
        <v>77</v>
      </c>
      <c r="G55" s="90">
        <v>35898394.5</v>
      </c>
      <c r="H55" s="228" t="s">
        <v>152</v>
      </c>
      <c r="I55" s="236">
        <v>35898394.5</v>
      </c>
      <c r="K55" s="118"/>
    </row>
    <row r="56" spans="1:13" ht="15.75" x14ac:dyDescent="0.25">
      <c r="A56" s="8"/>
      <c r="B56" s="167" t="s">
        <v>9</v>
      </c>
      <c r="C56" s="101">
        <f>C55</f>
        <v>2.4700000000000002</v>
      </c>
      <c r="D56" s="101"/>
      <c r="E56" s="4"/>
      <c r="F56" s="4"/>
      <c r="G56" s="115">
        <f>G55</f>
        <v>35898394.5</v>
      </c>
      <c r="H56" s="230"/>
      <c r="I56" s="236"/>
      <c r="K56" s="154"/>
    </row>
    <row r="57" spans="1:13" ht="15.75" x14ac:dyDescent="0.25">
      <c r="A57" s="8"/>
      <c r="B57" s="167" t="s">
        <v>17</v>
      </c>
      <c r="C57" s="167"/>
      <c r="D57" s="167"/>
      <c r="E57" s="4"/>
      <c r="F57" s="4"/>
      <c r="G57" s="5"/>
      <c r="H57" s="228"/>
      <c r="I57" s="236"/>
      <c r="K57" s="155"/>
    </row>
    <row r="58" spans="1:13" ht="47.25" x14ac:dyDescent="0.25">
      <c r="A58" s="8">
        <v>17</v>
      </c>
      <c r="B58" s="71" t="s">
        <v>121</v>
      </c>
      <c r="C58" s="4">
        <v>3.1789999999999998</v>
      </c>
      <c r="D58" s="100" t="s">
        <v>54</v>
      </c>
      <c r="E58" s="10" t="s">
        <v>7</v>
      </c>
      <c r="F58" s="8" t="s">
        <v>64</v>
      </c>
      <c r="G58" s="87">
        <v>40795171.899999999</v>
      </c>
      <c r="H58" s="228" t="s">
        <v>107</v>
      </c>
      <c r="I58" s="236">
        <v>40795171.899999999</v>
      </c>
      <c r="K58" s="155"/>
      <c r="M58" s="138"/>
    </row>
    <row r="59" spans="1:13" ht="109.5" customHeight="1" x14ac:dyDescent="0.25">
      <c r="A59" s="8"/>
      <c r="B59" s="71"/>
      <c r="C59" s="4"/>
      <c r="D59" s="100"/>
      <c r="E59" s="10"/>
      <c r="F59" s="8"/>
      <c r="G59" s="217" t="s">
        <v>211</v>
      </c>
      <c r="H59" s="228"/>
      <c r="I59" s="236"/>
      <c r="K59" s="155"/>
    </row>
    <row r="60" spans="1:13" ht="48.75" customHeight="1" x14ac:dyDescent="0.25">
      <c r="A60" s="8">
        <v>18</v>
      </c>
      <c r="B60" s="71" t="s">
        <v>212</v>
      </c>
      <c r="C60" s="100">
        <v>1.3169999999999999</v>
      </c>
      <c r="D60" s="100" t="s">
        <v>54</v>
      </c>
      <c r="E60" s="10" t="s">
        <v>75</v>
      </c>
      <c r="F60" s="8" t="s">
        <v>77</v>
      </c>
      <c r="G60" s="90">
        <v>17952538.289999999</v>
      </c>
      <c r="H60" s="228" t="s">
        <v>108</v>
      </c>
      <c r="I60" s="236">
        <v>17952538.289999999</v>
      </c>
      <c r="K60" s="118"/>
    </row>
    <row r="61" spans="1:13" ht="15.75" x14ac:dyDescent="0.25">
      <c r="A61" s="8"/>
      <c r="B61" s="167" t="s">
        <v>9</v>
      </c>
      <c r="C61" s="101">
        <f>C58+C60</f>
        <v>4.4960000000000004</v>
      </c>
      <c r="D61" s="101"/>
      <c r="E61" s="4"/>
      <c r="F61" s="4"/>
      <c r="G61" s="115">
        <f>G58+G60</f>
        <v>58747710.189999998</v>
      </c>
      <c r="H61" s="230"/>
      <c r="I61" s="236"/>
      <c r="K61" s="154"/>
    </row>
    <row r="62" spans="1:13" ht="15.75" x14ac:dyDescent="0.25">
      <c r="A62" s="8"/>
      <c r="B62" s="167" t="s">
        <v>18</v>
      </c>
      <c r="C62" s="101"/>
      <c r="D62" s="101"/>
      <c r="E62" s="4"/>
      <c r="F62" s="4"/>
      <c r="G62" s="115"/>
      <c r="H62" s="230"/>
      <c r="I62" s="236"/>
      <c r="K62" s="154"/>
    </row>
    <row r="63" spans="1:13" ht="45.6" customHeight="1" x14ac:dyDescent="0.25">
      <c r="A63" s="8">
        <v>19</v>
      </c>
      <c r="B63" s="71" t="s">
        <v>213</v>
      </c>
      <c r="C63" s="147">
        <v>5.1230000000000002</v>
      </c>
      <c r="D63" s="147" t="s">
        <v>55</v>
      </c>
      <c r="E63" s="124" t="s">
        <v>7</v>
      </c>
      <c r="F63" s="114" t="s">
        <v>76</v>
      </c>
      <c r="G63" s="148">
        <v>78672830.620000005</v>
      </c>
      <c r="H63" s="228" t="s">
        <v>109</v>
      </c>
      <c r="I63" s="236">
        <v>78672830.620000005</v>
      </c>
      <c r="K63" s="160"/>
      <c r="M63" s="138"/>
    </row>
    <row r="64" spans="1:13" ht="111.75" customHeight="1" x14ac:dyDescent="0.25">
      <c r="A64" s="8"/>
      <c r="B64" s="71"/>
      <c r="C64" s="147"/>
      <c r="D64" s="147"/>
      <c r="E64" s="124"/>
      <c r="F64" s="114"/>
      <c r="G64" s="217" t="s">
        <v>214</v>
      </c>
      <c r="H64" s="228"/>
      <c r="I64" s="236"/>
      <c r="K64" s="160"/>
      <c r="M64" s="138"/>
    </row>
    <row r="65" spans="1:13" ht="47.25" x14ac:dyDescent="0.25">
      <c r="A65" s="8">
        <v>20</v>
      </c>
      <c r="B65" s="71" t="s">
        <v>122</v>
      </c>
      <c r="C65" s="25">
        <v>4.0949999999999998</v>
      </c>
      <c r="D65" s="100" t="s">
        <v>54</v>
      </c>
      <c r="E65" s="10" t="s">
        <v>76</v>
      </c>
      <c r="F65" s="8" t="s">
        <v>79</v>
      </c>
      <c r="G65" s="148">
        <v>56791287.890000001</v>
      </c>
      <c r="H65" s="228" t="s">
        <v>110</v>
      </c>
      <c r="I65" s="236">
        <v>56791287.890000001</v>
      </c>
      <c r="K65" s="158"/>
      <c r="M65" s="138"/>
    </row>
    <row r="66" spans="1:13" ht="115.5" customHeight="1" x14ac:dyDescent="0.25">
      <c r="A66" s="8"/>
      <c r="B66" s="71"/>
      <c r="C66" s="25"/>
      <c r="D66" s="100"/>
      <c r="E66" s="10"/>
      <c r="F66" s="8"/>
      <c r="G66" s="217" t="s">
        <v>215</v>
      </c>
      <c r="H66" s="228"/>
      <c r="I66" s="236"/>
      <c r="K66" s="158"/>
    </row>
    <row r="67" spans="1:13" ht="15.75" x14ac:dyDescent="0.25">
      <c r="A67" s="8"/>
      <c r="B67" s="167" t="s">
        <v>9</v>
      </c>
      <c r="C67" s="101">
        <f>C63+C65</f>
        <v>9.218</v>
      </c>
      <c r="D67" s="101"/>
      <c r="E67" s="4"/>
      <c r="F67" s="4"/>
      <c r="G67" s="115">
        <f>G63+G65</f>
        <v>135464118.50999999</v>
      </c>
      <c r="H67" s="230"/>
      <c r="I67" s="236"/>
      <c r="K67" s="154"/>
    </row>
    <row r="68" spans="1:13" ht="15.75" x14ac:dyDescent="0.25">
      <c r="A68" s="8"/>
      <c r="B68" s="167" t="s">
        <v>19</v>
      </c>
      <c r="C68" s="167"/>
      <c r="D68" s="167"/>
      <c r="E68" s="4"/>
      <c r="F68" s="4"/>
      <c r="G68" s="5"/>
      <c r="H68" s="228"/>
      <c r="I68" s="236"/>
      <c r="K68" s="155"/>
    </row>
    <row r="69" spans="1:13" ht="64.5" customHeight="1" x14ac:dyDescent="0.25">
      <c r="A69" s="8">
        <v>21</v>
      </c>
      <c r="B69" s="71" t="s">
        <v>144</v>
      </c>
      <c r="C69" s="100">
        <v>3.1840000000000002</v>
      </c>
      <c r="D69" s="100" t="s">
        <v>56</v>
      </c>
      <c r="E69" s="10" t="s">
        <v>7</v>
      </c>
      <c r="F69" s="8" t="s">
        <v>64</v>
      </c>
      <c r="G69" s="90">
        <v>53948769.060000002</v>
      </c>
      <c r="H69" s="228" t="s">
        <v>111</v>
      </c>
      <c r="I69" s="236">
        <v>53151496.609999999</v>
      </c>
      <c r="K69" s="118"/>
    </row>
    <row r="70" spans="1:13" ht="15.75" x14ac:dyDescent="0.25">
      <c r="A70" s="4"/>
      <c r="B70" s="167" t="s">
        <v>9</v>
      </c>
      <c r="C70" s="101">
        <f>C69</f>
        <v>3.1840000000000002</v>
      </c>
      <c r="D70" s="101"/>
      <c r="E70" s="4"/>
      <c r="F70" s="4"/>
      <c r="G70" s="126">
        <f>G69</f>
        <v>53948769.060000002</v>
      </c>
      <c r="H70" s="230"/>
      <c r="I70" s="236"/>
      <c r="K70" s="161"/>
    </row>
    <row r="71" spans="1:13" ht="19.5" customHeight="1" x14ac:dyDescent="0.25">
      <c r="A71" s="22"/>
      <c r="B71" s="23" t="s">
        <v>57</v>
      </c>
      <c r="C71" s="102">
        <f>C13+C17+C22+C25+C30+C33+C37+C40+C46+C49+C53+C56+C61+C67+C70</f>
        <v>93.47</v>
      </c>
      <c r="D71" s="102"/>
      <c r="E71" s="4"/>
      <c r="F71" s="4"/>
      <c r="G71" s="125">
        <f>G13+G17+G22+G25+G30+G33+G37+G40+G46+G49+G53+G56+G61+G67+G70</f>
        <v>1442696254.8</v>
      </c>
      <c r="H71" s="232"/>
      <c r="I71" s="236"/>
      <c r="K71" s="162"/>
      <c r="L71" s="138"/>
    </row>
    <row r="72" spans="1:13" x14ac:dyDescent="0.25">
      <c r="A72" s="44"/>
      <c r="B72" s="103" t="s">
        <v>62</v>
      </c>
      <c r="C72" s="105">
        <f>C27+C29+C35+C42+C44+7.6+C63</f>
        <v>29.117000000000001</v>
      </c>
      <c r="D72" s="44"/>
      <c r="E72" s="44"/>
      <c r="F72" s="44"/>
      <c r="G72" s="175">
        <f>G27+G29+G35+G42+G44+((G51*7.6)/11.01)+G63</f>
        <v>499806346.77999997</v>
      </c>
      <c r="H72" s="233"/>
      <c r="I72" s="236"/>
      <c r="K72" s="163"/>
      <c r="L72" s="127"/>
    </row>
    <row r="73" spans="1:13" x14ac:dyDescent="0.25">
      <c r="A73" s="44"/>
      <c r="B73" s="103" t="s">
        <v>58</v>
      </c>
      <c r="C73" s="105">
        <f>C11+C15+C19+C21+C24+C32+C39+C45+C48+3.41+C55+C58+C60+C65</f>
        <v>61.168999999999997</v>
      </c>
      <c r="D73" s="44"/>
      <c r="E73" s="44"/>
      <c r="F73" s="44"/>
      <c r="G73" s="175">
        <f>G11+G15+G19+G21+G24+G32+G39+G45+G48+((G51*3.41)/11.01)+G55+G58+G60+G65</f>
        <v>888941138.96000004</v>
      </c>
      <c r="H73" s="233"/>
      <c r="I73" s="236"/>
      <c r="K73" s="163"/>
    </row>
    <row r="74" spans="1:13" x14ac:dyDescent="0.25">
      <c r="A74" s="44"/>
      <c r="B74" s="103" t="s">
        <v>59</v>
      </c>
      <c r="C74" s="105">
        <f>C69</f>
        <v>3.1840000000000002</v>
      </c>
      <c r="D74" s="44"/>
      <c r="E74" s="44"/>
      <c r="F74" s="44"/>
      <c r="G74" s="175">
        <f>G69</f>
        <v>53948769.060000002</v>
      </c>
      <c r="H74" s="233"/>
      <c r="I74" s="236"/>
      <c r="K74" s="163"/>
    </row>
    <row r="75" spans="1:13" ht="15.75" hidden="1" customHeight="1" x14ac:dyDescent="0.25">
      <c r="G75" s="168">
        <v>1779541.6</v>
      </c>
      <c r="I75" s="236"/>
    </row>
    <row r="76" spans="1:13" x14ac:dyDescent="0.25">
      <c r="I76" s="236"/>
    </row>
    <row r="77" spans="1:13" ht="15.75" hidden="1" customHeight="1" x14ac:dyDescent="0.25">
      <c r="G77" s="170">
        <f>G75-G71</f>
        <v>-1440916713.2</v>
      </c>
    </row>
    <row r="78" spans="1:13" ht="15" hidden="1" customHeight="1" x14ac:dyDescent="0.25"/>
    <row r="79" spans="1:13" ht="15.75" hidden="1" customHeight="1" x14ac:dyDescent="0.25">
      <c r="A79" s="73"/>
      <c r="B79" s="72" t="s">
        <v>18</v>
      </c>
      <c r="C79" s="76"/>
      <c r="D79" s="76"/>
      <c r="E79" s="73"/>
      <c r="F79" s="73"/>
      <c r="G79" s="77"/>
      <c r="H79" s="230"/>
    </row>
    <row r="80" spans="1:13" ht="66" hidden="1" customHeight="1" x14ac:dyDescent="0.25">
      <c r="A80" s="73">
        <v>33</v>
      </c>
      <c r="B80" s="71" t="s">
        <v>83</v>
      </c>
      <c r="C80" s="78">
        <v>2.98</v>
      </c>
      <c r="D80" s="78" t="s">
        <v>54</v>
      </c>
      <c r="E80" s="73" t="s">
        <v>7</v>
      </c>
      <c r="F80" s="73" t="s">
        <v>8</v>
      </c>
      <c r="G80" s="74">
        <v>30939.3</v>
      </c>
      <c r="H80" s="228" t="s">
        <v>66</v>
      </c>
    </row>
    <row r="81" spans="1:11" ht="15.75" hidden="1" customHeight="1" x14ac:dyDescent="0.25">
      <c r="A81" s="73"/>
      <c r="B81" s="72" t="s">
        <v>9</v>
      </c>
      <c r="C81" s="76">
        <f>C80</f>
        <v>2.98</v>
      </c>
      <c r="D81" s="76"/>
      <c r="E81" s="73"/>
      <c r="F81" s="73"/>
      <c r="G81" s="77">
        <f>G80</f>
        <v>30939.3</v>
      </c>
      <c r="H81" s="230"/>
    </row>
    <row r="82" spans="1:11" ht="15.75" hidden="1" customHeight="1" x14ac:dyDescent="0.25">
      <c r="A82" s="73"/>
      <c r="B82" s="72" t="s">
        <v>19</v>
      </c>
      <c r="C82" s="72"/>
      <c r="D82" s="72"/>
      <c r="E82" s="73"/>
      <c r="F82" s="73"/>
      <c r="G82" s="75"/>
      <c r="H82" s="228"/>
    </row>
    <row r="83" spans="1:11" ht="63" hidden="1" customHeight="1" x14ac:dyDescent="0.25">
      <c r="A83" s="73">
        <v>34</v>
      </c>
      <c r="B83" s="71" t="s">
        <v>82</v>
      </c>
      <c r="C83" s="78">
        <v>3.4</v>
      </c>
      <c r="D83" s="78" t="s">
        <v>56</v>
      </c>
      <c r="E83" s="70" t="s">
        <v>7</v>
      </c>
      <c r="F83" s="73" t="s">
        <v>64</v>
      </c>
      <c r="G83" s="75">
        <v>40061.4</v>
      </c>
      <c r="H83" s="228" t="s">
        <v>67</v>
      </c>
    </row>
    <row r="84" spans="1:11" ht="15.75" hidden="1" customHeight="1" x14ac:dyDescent="0.25">
      <c r="A84" s="73"/>
      <c r="B84" s="72" t="s">
        <v>9</v>
      </c>
      <c r="C84" s="76">
        <f>SUM(C83:C83)</f>
        <v>3.4</v>
      </c>
      <c r="D84" s="76"/>
      <c r="E84" s="73"/>
      <c r="F84" s="73"/>
      <c r="G84" s="77">
        <f>SUM(G83:G83)</f>
        <v>40061.4</v>
      </c>
      <c r="H84" s="230"/>
    </row>
    <row r="85" spans="1:11" ht="15.75" hidden="1" customHeight="1" x14ac:dyDescent="0.25">
      <c r="A85" s="79"/>
      <c r="B85" s="80" t="s">
        <v>57</v>
      </c>
      <c r="C85" s="81" t="e">
        <f>C13+#REF!+C18+#REF!+#REF!+C27+C34+C42+#REF!+C50+C53+C56+C69+C72+C75+C78+C81+C84</f>
        <v>#REF!</v>
      </c>
      <c r="D85" s="81"/>
      <c r="E85" s="73"/>
      <c r="F85" s="73"/>
      <c r="G85" s="82" t="e">
        <f>G13+#REF!+G18+#REF!+#REF!+G27+G34+G42+#REF!+G50+G53+G56+G69+G72+G75+G78+G81+G84+G30</f>
        <v>#REF!</v>
      </c>
      <c r="H85" s="232"/>
    </row>
    <row r="86" spans="1:11" ht="15" hidden="1" customHeight="1" x14ac:dyDescent="0.25">
      <c r="A86" s="83"/>
      <c r="B86" s="84" t="s">
        <v>62</v>
      </c>
      <c r="C86" s="85" t="e">
        <f>C60+#REF!</f>
        <v>#REF!</v>
      </c>
      <c r="D86" s="83"/>
      <c r="E86" s="83"/>
      <c r="F86" s="83"/>
      <c r="G86" s="86" t="e">
        <f>#REF!+#REF!+G60</f>
        <v>#REF!</v>
      </c>
    </row>
    <row r="87" spans="1:11" ht="15" hidden="1" customHeight="1" x14ac:dyDescent="0.25">
      <c r="A87" s="83"/>
      <c r="B87" s="84" t="s">
        <v>58</v>
      </c>
      <c r="C87" s="85" t="e">
        <f>C11+#REF!+C15+#REF!+C17+C21+#REF!+C22+#REF!+#REF!+C23+C25+C26+#REF!+C33+C37+C41+C46+#REF!+C48+C49+#REF!+C61+C68+C71+C74+C77+C80+6.79</f>
        <v>#REF!</v>
      </c>
      <c r="D87" s="83"/>
      <c r="E87" s="83"/>
      <c r="F87" s="83"/>
      <c r="G87" s="86" t="e">
        <f>G11+#REF!+G15+#REF!+G17+G21+#REF!+G22+#REF!+#REF!+G23+#REF!+G33+G37+G41+G46+#REF!+G48+G49+#REF!+G61+G68+G71+G74+G77+G80+69966.27+G25+G26</f>
        <v>#REF!</v>
      </c>
    </row>
    <row r="88" spans="1:11" ht="15" hidden="1" customHeight="1" x14ac:dyDescent="0.25">
      <c r="A88" s="83"/>
      <c r="B88" s="84" t="s">
        <v>59</v>
      </c>
      <c r="C88" s="85">
        <f>C55+C84+2.28</f>
        <v>8.15</v>
      </c>
      <c r="D88" s="83"/>
      <c r="E88" s="83"/>
      <c r="F88" s="83"/>
      <c r="G88" s="86">
        <f>G55+G83+23493.83</f>
        <v>35961949.700000003</v>
      </c>
    </row>
    <row r="89" spans="1:11" ht="15.75" hidden="1" customHeight="1" x14ac:dyDescent="0.25">
      <c r="G89" s="168">
        <v>1779541.6</v>
      </c>
    </row>
    <row r="90" spans="1:11" ht="15" hidden="1" customHeight="1" x14ac:dyDescent="0.25"/>
    <row r="91" spans="1:11" ht="15.75" hidden="1" customHeight="1" x14ac:dyDescent="0.25">
      <c r="G91" s="170" t="e">
        <f>G89-G85</f>
        <v>#REF!</v>
      </c>
      <c r="I91" s="248"/>
    </row>
    <row r="92" spans="1:11" x14ac:dyDescent="0.25">
      <c r="C92" s="135"/>
      <c r="I92" s="249"/>
    </row>
    <row r="93" spans="1:11" x14ac:dyDescent="0.25">
      <c r="C93" s="135">
        <f>C27+C35+C51+C63</f>
        <v>24.785</v>
      </c>
      <c r="G93" s="17">
        <f>G27+G35+G51+G63</f>
        <v>396927939.89999998</v>
      </c>
      <c r="I93" s="249"/>
      <c r="K93" s="164"/>
    </row>
    <row r="94" spans="1:11" x14ac:dyDescent="0.25">
      <c r="I94" s="249"/>
    </row>
    <row r="95" spans="1:11" x14ac:dyDescent="0.25">
      <c r="I95" s="249"/>
    </row>
    <row r="96" spans="1:11" x14ac:dyDescent="0.25">
      <c r="I96" s="249"/>
    </row>
    <row r="97" spans="9:9" x14ac:dyDescent="0.25">
      <c r="I97" s="249"/>
    </row>
    <row r="98" spans="9:9" x14ac:dyDescent="0.25">
      <c r="I98" s="249"/>
    </row>
    <row r="99" spans="9:9" x14ac:dyDescent="0.25">
      <c r="I99" s="249"/>
    </row>
    <row r="100" spans="9:9" x14ac:dyDescent="0.25">
      <c r="I100" s="249"/>
    </row>
    <row r="101" spans="9:9" x14ac:dyDescent="0.25">
      <c r="I101" s="249"/>
    </row>
    <row r="102" spans="9:9" x14ac:dyDescent="0.25">
      <c r="I102" s="249"/>
    </row>
    <row r="103" spans="9:9" x14ac:dyDescent="0.25">
      <c r="I103" s="249"/>
    </row>
    <row r="104" spans="9:9" x14ac:dyDescent="0.25">
      <c r="I104" s="249"/>
    </row>
    <row r="105" spans="9:9" x14ac:dyDescent="0.25">
      <c r="I105" s="249"/>
    </row>
    <row r="106" spans="9:9" x14ac:dyDescent="0.25">
      <c r="I106" s="249"/>
    </row>
    <row r="107" spans="9:9" x14ac:dyDescent="0.25">
      <c r="I107" s="249"/>
    </row>
    <row r="108" spans="9:9" x14ac:dyDescent="0.25">
      <c r="I108" s="249"/>
    </row>
    <row r="109" spans="9:9" x14ac:dyDescent="0.25">
      <c r="I109" s="249"/>
    </row>
    <row r="110" spans="9:9" x14ac:dyDescent="0.25">
      <c r="I110" s="249"/>
    </row>
    <row r="111" spans="9:9" x14ac:dyDescent="0.25">
      <c r="I111" s="249"/>
    </row>
    <row r="112" spans="9:9" x14ac:dyDescent="0.25">
      <c r="I112" s="249"/>
    </row>
    <row r="113" spans="9:9" x14ac:dyDescent="0.25">
      <c r="I113" s="249"/>
    </row>
    <row r="114" spans="9:9" x14ac:dyDescent="0.25">
      <c r="I114" s="249"/>
    </row>
    <row r="115" spans="9:9" x14ac:dyDescent="0.25">
      <c r="I115" s="249"/>
    </row>
    <row r="116" spans="9:9" x14ac:dyDescent="0.25">
      <c r="I116" s="249"/>
    </row>
    <row r="117" spans="9:9" x14ac:dyDescent="0.25">
      <c r="I117" s="249"/>
    </row>
    <row r="118" spans="9:9" x14ac:dyDescent="0.25">
      <c r="I118" s="249"/>
    </row>
    <row r="119" spans="9:9" x14ac:dyDescent="0.25">
      <c r="I119" s="249"/>
    </row>
    <row r="120" spans="9:9" x14ac:dyDescent="0.25">
      <c r="I120" s="249"/>
    </row>
    <row r="121" spans="9:9" x14ac:dyDescent="0.25">
      <c r="I121" s="249"/>
    </row>
    <row r="122" spans="9:9" x14ac:dyDescent="0.25">
      <c r="I122" s="249"/>
    </row>
    <row r="123" spans="9:9" x14ac:dyDescent="0.25">
      <c r="I123" s="249"/>
    </row>
    <row r="124" spans="9:9" x14ac:dyDescent="0.25">
      <c r="I124" s="249"/>
    </row>
    <row r="125" spans="9:9" x14ac:dyDescent="0.25">
      <c r="I125" s="249"/>
    </row>
    <row r="126" spans="9:9" x14ac:dyDescent="0.25">
      <c r="I126" s="249"/>
    </row>
    <row r="127" spans="9:9" x14ac:dyDescent="0.25">
      <c r="I127" s="249"/>
    </row>
    <row r="128" spans="9:9" x14ac:dyDescent="0.25">
      <c r="I128" s="249"/>
    </row>
    <row r="129" spans="9:9" x14ac:dyDescent="0.25">
      <c r="I129" s="249"/>
    </row>
    <row r="130" spans="9:9" x14ac:dyDescent="0.25">
      <c r="I130" s="249"/>
    </row>
    <row r="131" spans="9:9" x14ac:dyDescent="0.25">
      <c r="I131" s="249"/>
    </row>
    <row r="132" spans="9:9" x14ac:dyDescent="0.25">
      <c r="I132" s="249"/>
    </row>
    <row r="133" spans="9:9" x14ac:dyDescent="0.25">
      <c r="I133" s="249"/>
    </row>
    <row r="134" spans="9:9" x14ac:dyDescent="0.25">
      <c r="I134" s="249"/>
    </row>
    <row r="135" spans="9:9" x14ac:dyDescent="0.25">
      <c r="I135" s="249"/>
    </row>
    <row r="136" spans="9:9" x14ac:dyDescent="0.25">
      <c r="I136" s="249"/>
    </row>
    <row r="137" spans="9:9" x14ac:dyDescent="0.25">
      <c r="I137" s="249"/>
    </row>
    <row r="138" spans="9:9" x14ac:dyDescent="0.25">
      <c r="I138" s="249"/>
    </row>
    <row r="139" spans="9:9" x14ac:dyDescent="0.25">
      <c r="I139" s="249"/>
    </row>
    <row r="140" spans="9:9" x14ac:dyDescent="0.25">
      <c r="I140" s="249"/>
    </row>
    <row r="141" spans="9:9" x14ac:dyDescent="0.25">
      <c r="I141" s="249"/>
    </row>
    <row r="142" spans="9:9" x14ac:dyDescent="0.25">
      <c r="I142" s="249"/>
    </row>
    <row r="143" spans="9:9" x14ac:dyDescent="0.25">
      <c r="I143" s="249"/>
    </row>
    <row r="144" spans="9:9" x14ac:dyDescent="0.25">
      <c r="I144" s="249"/>
    </row>
    <row r="145" spans="9:9" x14ac:dyDescent="0.25">
      <c r="I145" s="249"/>
    </row>
    <row r="146" spans="9:9" x14ac:dyDescent="0.25">
      <c r="I146" s="249"/>
    </row>
    <row r="147" spans="9:9" x14ac:dyDescent="0.25">
      <c r="I147" s="249"/>
    </row>
    <row r="148" spans="9:9" x14ac:dyDescent="0.25">
      <c r="I148" s="249"/>
    </row>
    <row r="149" spans="9:9" x14ac:dyDescent="0.25">
      <c r="I149" s="249"/>
    </row>
    <row r="150" spans="9:9" x14ac:dyDescent="0.25">
      <c r="I150" s="249"/>
    </row>
    <row r="151" spans="9:9" x14ac:dyDescent="0.25">
      <c r="I151" s="249"/>
    </row>
    <row r="152" spans="9:9" x14ac:dyDescent="0.25">
      <c r="I152" s="249"/>
    </row>
    <row r="153" spans="9:9" x14ac:dyDescent="0.25">
      <c r="I153" s="249"/>
    </row>
    <row r="154" spans="9:9" x14ac:dyDescent="0.25">
      <c r="I154" s="249"/>
    </row>
    <row r="155" spans="9:9" x14ac:dyDescent="0.25">
      <c r="I155" s="249"/>
    </row>
    <row r="156" spans="9:9" x14ac:dyDescent="0.25">
      <c r="I156" s="249"/>
    </row>
    <row r="157" spans="9:9" x14ac:dyDescent="0.25">
      <c r="I157" s="249"/>
    </row>
    <row r="158" spans="9:9" x14ac:dyDescent="0.25">
      <c r="I158" s="249"/>
    </row>
    <row r="159" spans="9:9" x14ac:dyDescent="0.25">
      <c r="I159" s="249"/>
    </row>
    <row r="160" spans="9:9" x14ac:dyDescent="0.25">
      <c r="I160" s="249"/>
    </row>
    <row r="161" spans="9:9" x14ac:dyDescent="0.25">
      <c r="I161" s="249"/>
    </row>
    <row r="162" spans="9:9" x14ac:dyDescent="0.25">
      <c r="I162" s="249"/>
    </row>
    <row r="163" spans="9:9" x14ac:dyDescent="0.25">
      <c r="I163" s="249"/>
    </row>
    <row r="164" spans="9:9" x14ac:dyDescent="0.25">
      <c r="I164" s="249"/>
    </row>
    <row r="165" spans="9:9" x14ac:dyDescent="0.25">
      <c r="I165" s="249"/>
    </row>
    <row r="166" spans="9:9" x14ac:dyDescent="0.25">
      <c r="I166" s="249"/>
    </row>
    <row r="167" spans="9:9" x14ac:dyDescent="0.25">
      <c r="I167" s="249"/>
    </row>
    <row r="168" spans="9:9" x14ac:dyDescent="0.25">
      <c r="I168" s="249"/>
    </row>
    <row r="169" spans="9:9" x14ac:dyDescent="0.25">
      <c r="I169" s="249"/>
    </row>
    <row r="170" spans="9:9" x14ac:dyDescent="0.25">
      <c r="I170" s="249"/>
    </row>
    <row r="171" spans="9:9" x14ac:dyDescent="0.25">
      <c r="I171" s="249"/>
    </row>
    <row r="172" spans="9:9" x14ac:dyDescent="0.25">
      <c r="I172" s="249"/>
    </row>
    <row r="173" spans="9:9" x14ac:dyDescent="0.25">
      <c r="I173" s="249"/>
    </row>
    <row r="174" spans="9:9" x14ac:dyDescent="0.25">
      <c r="I174" s="249"/>
    </row>
    <row r="175" spans="9:9" x14ac:dyDescent="0.25">
      <c r="I175" s="249"/>
    </row>
    <row r="176" spans="9:9" x14ac:dyDescent="0.25">
      <c r="I176" s="249"/>
    </row>
    <row r="177" spans="9:9" x14ac:dyDescent="0.25">
      <c r="I177" s="249"/>
    </row>
    <row r="178" spans="9:9" x14ac:dyDescent="0.25">
      <c r="I178" s="249"/>
    </row>
    <row r="179" spans="9:9" x14ac:dyDescent="0.25">
      <c r="I179" s="249"/>
    </row>
    <row r="180" spans="9:9" x14ac:dyDescent="0.25">
      <c r="I180" s="249"/>
    </row>
    <row r="181" spans="9:9" x14ac:dyDescent="0.25">
      <c r="I181" s="249"/>
    </row>
    <row r="182" spans="9:9" x14ac:dyDescent="0.25">
      <c r="I182" s="249"/>
    </row>
    <row r="183" spans="9:9" x14ac:dyDescent="0.25">
      <c r="I183" s="249"/>
    </row>
    <row r="184" spans="9:9" x14ac:dyDescent="0.25">
      <c r="I184" s="249"/>
    </row>
    <row r="185" spans="9:9" x14ac:dyDescent="0.25">
      <c r="I185" s="249"/>
    </row>
    <row r="186" spans="9:9" x14ac:dyDescent="0.25">
      <c r="I186" s="249"/>
    </row>
    <row r="187" spans="9:9" x14ac:dyDescent="0.25">
      <c r="I187" s="249"/>
    </row>
    <row r="188" spans="9:9" x14ac:dyDescent="0.25">
      <c r="I188" s="249"/>
    </row>
    <row r="189" spans="9:9" x14ac:dyDescent="0.25">
      <c r="I189" s="249"/>
    </row>
    <row r="190" spans="9:9" x14ac:dyDescent="0.25">
      <c r="I190" s="249"/>
    </row>
    <row r="191" spans="9:9" x14ac:dyDescent="0.25">
      <c r="I191" s="249"/>
    </row>
    <row r="192" spans="9:9" x14ac:dyDescent="0.25">
      <c r="I192" s="249"/>
    </row>
    <row r="193" spans="9:9" x14ac:dyDescent="0.25">
      <c r="I193" s="249"/>
    </row>
    <row r="194" spans="9:9" x14ac:dyDescent="0.25">
      <c r="I194" s="249"/>
    </row>
    <row r="195" spans="9:9" x14ac:dyDescent="0.25">
      <c r="I195" s="249"/>
    </row>
    <row r="196" spans="9:9" x14ac:dyDescent="0.25">
      <c r="I196" s="249"/>
    </row>
    <row r="197" spans="9:9" x14ac:dyDescent="0.25">
      <c r="I197" s="249"/>
    </row>
    <row r="198" spans="9:9" x14ac:dyDescent="0.25">
      <c r="I198" s="249"/>
    </row>
    <row r="199" spans="9:9" x14ac:dyDescent="0.25">
      <c r="I199" s="249"/>
    </row>
    <row r="200" spans="9:9" x14ac:dyDescent="0.25">
      <c r="I200" s="249"/>
    </row>
    <row r="201" spans="9:9" x14ac:dyDescent="0.25">
      <c r="I201" s="249"/>
    </row>
    <row r="202" spans="9:9" x14ac:dyDescent="0.25">
      <c r="I202" s="249"/>
    </row>
    <row r="203" spans="9:9" x14ac:dyDescent="0.25">
      <c r="I203" s="249"/>
    </row>
    <row r="204" spans="9:9" x14ac:dyDescent="0.25">
      <c r="I204" s="249"/>
    </row>
    <row r="205" spans="9:9" x14ac:dyDescent="0.25">
      <c r="I205" s="249"/>
    </row>
    <row r="206" spans="9:9" x14ac:dyDescent="0.25">
      <c r="I206" s="249"/>
    </row>
    <row r="207" spans="9:9" x14ac:dyDescent="0.25">
      <c r="I207" s="249"/>
    </row>
    <row r="208" spans="9:9" x14ac:dyDescent="0.25">
      <c r="I208" s="249"/>
    </row>
    <row r="209" spans="9:9" x14ac:dyDescent="0.25">
      <c r="I209" s="249"/>
    </row>
    <row r="210" spans="9:9" x14ac:dyDescent="0.25">
      <c r="I210" s="249"/>
    </row>
    <row r="211" spans="9:9" x14ac:dyDescent="0.25">
      <c r="I211" s="249"/>
    </row>
    <row r="212" spans="9:9" x14ac:dyDescent="0.25">
      <c r="I212" s="249"/>
    </row>
    <row r="213" spans="9:9" x14ac:dyDescent="0.25">
      <c r="I213" s="249"/>
    </row>
    <row r="214" spans="9:9" x14ac:dyDescent="0.25">
      <c r="I214" s="249"/>
    </row>
    <row r="215" spans="9:9" x14ac:dyDescent="0.25">
      <c r="I215" s="249"/>
    </row>
    <row r="216" spans="9:9" x14ac:dyDescent="0.25">
      <c r="I216" s="249"/>
    </row>
    <row r="217" spans="9:9" x14ac:dyDescent="0.25">
      <c r="I217" s="249"/>
    </row>
    <row r="218" spans="9:9" x14ac:dyDescent="0.25">
      <c r="I218" s="249"/>
    </row>
    <row r="219" spans="9:9" x14ac:dyDescent="0.25">
      <c r="I219" s="249"/>
    </row>
    <row r="220" spans="9:9" x14ac:dyDescent="0.25">
      <c r="I220" s="249"/>
    </row>
    <row r="221" spans="9:9" x14ac:dyDescent="0.25">
      <c r="I221" s="249"/>
    </row>
    <row r="222" spans="9:9" x14ac:dyDescent="0.25">
      <c r="I222" s="249"/>
    </row>
    <row r="223" spans="9:9" x14ac:dyDescent="0.25">
      <c r="I223" s="249"/>
    </row>
    <row r="224" spans="9:9" x14ac:dyDescent="0.25">
      <c r="I224" s="249"/>
    </row>
    <row r="225" spans="9:9" x14ac:dyDescent="0.25">
      <c r="I225" s="249"/>
    </row>
    <row r="226" spans="9:9" x14ac:dyDescent="0.25">
      <c r="I226" s="249"/>
    </row>
    <row r="227" spans="9:9" x14ac:dyDescent="0.25">
      <c r="I227" s="249"/>
    </row>
    <row r="228" spans="9:9" x14ac:dyDescent="0.25">
      <c r="I228" s="249"/>
    </row>
    <row r="229" spans="9:9" x14ac:dyDescent="0.25">
      <c r="I229" s="249"/>
    </row>
    <row r="230" spans="9:9" x14ac:dyDescent="0.25">
      <c r="I230" s="249"/>
    </row>
    <row r="231" spans="9:9" x14ac:dyDescent="0.25">
      <c r="I231" s="249"/>
    </row>
    <row r="232" spans="9:9" x14ac:dyDescent="0.25">
      <c r="I232" s="249"/>
    </row>
    <row r="233" spans="9:9" x14ac:dyDescent="0.25">
      <c r="I233" s="249"/>
    </row>
    <row r="234" spans="9:9" x14ac:dyDescent="0.25">
      <c r="I234" s="249"/>
    </row>
    <row r="235" spans="9:9" x14ac:dyDescent="0.25">
      <c r="I235" s="249"/>
    </row>
    <row r="236" spans="9:9" x14ac:dyDescent="0.25">
      <c r="I236" s="249"/>
    </row>
    <row r="237" spans="9:9" x14ac:dyDescent="0.25">
      <c r="I237" s="249"/>
    </row>
    <row r="238" spans="9:9" x14ac:dyDescent="0.25">
      <c r="I238" s="249"/>
    </row>
    <row r="239" spans="9:9" x14ac:dyDescent="0.25">
      <c r="I239" s="249"/>
    </row>
    <row r="240" spans="9:9" x14ac:dyDescent="0.25">
      <c r="I240" s="249"/>
    </row>
    <row r="241" spans="9:9" x14ac:dyDescent="0.25">
      <c r="I241" s="249"/>
    </row>
    <row r="242" spans="9:9" x14ac:dyDescent="0.25">
      <c r="I242" s="249"/>
    </row>
    <row r="243" spans="9:9" x14ac:dyDescent="0.25">
      <c r="I243" s="249"/>
    </row>
    <row r="244" spans="9:9" x14ac:dyDescent="0.25">
      <c r="I244" s="249"/>
    </row>
    <row r="245" spans="9:9" x14ac:dyDescent="0.25">
      <c r="I245" s="249"/>
    </row>
    <row r="246" spans="9:9" x14ac:dyDescent="0.25">
      <c r="I246" s="249"/>
    </row>
    <row r="247" spans="9:9" x14ac:dyDescent="0.25">
      <c r="I247" s="249"/>
    </row>
    <row r="248" spans="9:9" x14ac:dyDescent="0.25">
      <c r="I248" s="249"/>
    </row>
    <row r="249" spans="9:9" x14ac:dyDescent="0.25">
      <c r="I249" s="249"/>
    </row>
    <row r="250" spans="9:9" x14ac:dyDescent="0.25">
      <c r="I250" s="249"/>
    </row>
    <row r="251" spans="9:9" x14ac:dyDescent="0.25">
      <c r="I251" s="249"/>
    </row>
    <row r="252" spans="9:9" x14ac:dyDescent="0.25">
      <c r="I252" s="249"/>
    </row>
    <row r="253" spans="9:9" x14ac:dyDescent="0.25">
      <c r="I253" s="249"/>
    </row>
    <row r="254" spans="9:9" x14ac:dyDescent="0.25">
      <c r="I254" s="249"/>
    </row>
    <row r="255" spans="9:9" x14ac:dyDescent="0.25">
      <c r="I255" s="249"/>
    </row>
    <row r="256" spans="9:9" x14ac:dyDescent="0.25">
      <c r="I256" s="249"/>
    </row>
    <row r="257" spans="9:9" x14ac:dyDescent="0.25">
      <c r="I257" s="249"/>
    </row>
    <row r="258" spans="9:9" x14ac:dyDescent="0.25">
      <c r="I258" s="249"/>
    </row>
    <row r="259" spans="9:9" x14ac:dyDescent="0.25">
      <c r="I259" s="249"/>
    </row>
    <row r="260" spans="9:9" x14ac:dyDescent="0.25">
      <c r="I260" s="249"/>
    </row>
    <row r="261" spans="9:9" x14ac:dyDescent="0.25">
      <c r="I261" s="249"/>
    </row>
    <row r="262" spans="9:9" x14ac:dyDescent="0.25">
      <c r="I262" s="249"/>
    </row>
    <row r="263" spans="9:9" x14ac:dyDescent="0.25">
      <c r="I263" s="249"/>
    </row>
    <row r="264" spans="9:9" x14ac:dyDescent="0.25">
      <c r="I264" s="249"/>
    </row>
    <row r="265" spans="9:9" x14ac:dyDescent="0.25">
      <c r="I265" s="249"/>
    </row>
    <row r="266" spans="9:9" x14ac:dyDescent="0.25">
      <c r="I266" s="249"/>
    </row>
    <row r="267" spans="9:9" x14ac:dyDescent="0.25">
      <c r="I267" s="249"/>
    </row>
    <row r="268" spans="9:9" x14ac:dyDescent="0.25">
      <c r="I268" s="249"/>
    </row>
    <row r="269" spans="9:9" x14ac:dyDescent="0.25">
      <c r="I269" s="249"/>
    </row>
    <row r="270" spans="9:9" x14ac:dyDescent="0.25">
      <c r="I270" s="249"/>
    </row>
    <row r="271" spans="9:9" x14ac:dyDescent="0.25">
      <c r="I271" s="249"/>
    </row>
    <row r="272" spans="9:9" x14ac:dyDescent="0.25">
      <c r="I272" s="249"/>
    </row>
    <row r="273" spans="9:9" x14ac:dyDescent="0.25">
      <c r="I273" s="249"/>
    </row>
    <row r="274" spans="9:9" x14ac:dyDescent="0.25">
      <c r="I274" s="249"/>
    </row>
    <row r="275" spans="9:9" x14ac:dyDescent="0.25">
      <c r="I275" s="249"/>
    </row>
    <row r="276" spans="9:9" x14ac:dyDescent="0.25">
      <c r="I276" s="249"/>
    </row>
    <row r="277" spans="9:9" x14ac:dyDescent="0.25">
      <c r="I277" s="249"/>
    </row>
    <row r="278" spans="9:9" x14ac:dyDescent="0.25">
      <c r="I278" s="249"/>
    </row>
    <row r="279" spans="9:9" x14ac:dyDescent="0.25">
      <c r="I279" s="249"/>
    </row>
    <row r="280" spans="9:9" x14ac:dyDescent="0.25">
      <c r="I280" s="249"/>
    </row>
    <row r="281" spans="9:9" x14ac:dyDescent="0.25">
      <c r="I281" s="249"/>
    </row>
    <row r="282" spans="9:9" x14ac:dyDescent="0.25">
      <c r="I282" s="249"/>
    </row>
    <row r="283" spans="9:9" x14ac:dyDescent="0.25">
      <c r="I283" s="249"/>
    </row>
    <row r="284" spans="9:9" x14ac:dyDescent="0.25">
      <c r="I284" s="249"/>
    </row>
    <row r="285" spans="9:9" x14ac:dyDescent="0.25">
      <c r="I285" s="249"/>
    </row>
    <row r="286" spans="9:9" x14ac:dyDescent="0.25">
      <c r="I286" s="249"/>
    </row>
    <row r="287" spans="9:9" x14ac:dyDescent="0.25">
      <c r="I287" s="249"/>
    </row>
    <row r="288" spans="9:9" x14ac:dyDescent="0.25">
      <c r="I288" s="249"/>
    </row>
    <row r="289" spans="9:9" x14ac:dyDescent="0.25">
      <c r="I289" s="249"/>
    </row>
    <row r="290" spans="9:9" x14ac:dyDescent="0.25">
      <c r="I290" s="249"/>
    </row>
    <row r="291" spans="9:9" x14ac:dyDescent="0.25">
      <c r="I291" s="249"/>
    </row>
    <row r="292" spans="9:9" x14ac:dyDescent="0.25">
      <c r="I292" s="249"/>
    </row>
    <row r="293" spans="9:9" x14ac:dyDescent="0.25">
      <c r="I293" s="249"/>
    </row>
    <row r="294" spans="9:9" x14ac:dyDescent="0.25">
      <c r="I294" s="249"/>
    </row>
    <row r="295" spans="9:9" x14ac:dyDescent="0.25">
      <c r="I295" s="249"/>
    </row>
    <row r="296" spans="9:9" x14ac:dyDescent="0.25">
      <c r="I296" s="249"/>
    </row>
    <row r="297" spans="9:9" x14ac:dyDescent="0.25">
      <c r="I297" s="249"/>
    </row>
    <row r="298" spans="9:9" x14ac:dyDescent="0.25">
      <c r="I298" s="249"/>
    </row>
    <row r="299" spans="9:9" x14ac:dyDescent="0.25">
      <c r="I299" s="249"/>
    </row>
    <row r="300" spans="9:9" x14ac:dyDescent="0.25">
      <c r="I300" s="249"/>
    </row>
    <row r="301" spans="9:9" x14ac:dyDescent="0.25">
      <c r="I301" s="249"/>
    </row>
    <row r="302" spans="9:9" x14ac:dyDescent="0.25">
      <c r="I302" s="249"/>
    </row>
    <row r="303" spans="9:9" x14ac:dyDescent="0.25">
      <c r="I303" s="249"/>
    </row>
    <row r="304" spans="9:9" x14ac:dyDescent="0.25">
      <c r="I304" s="249"/>
    </row>
    <row r="305" spans="9:9" x14ac:dyDescent="0.25">
      <c r="I305" s="249"/>
    </row>
    <row r="306" spans="9:9" x14ac:dyDescent="0.25">
      <c r="I306" s="249"/>
    </row>
    <row r="307" spans="9:9" x14ac:dyDescent="0.25">
      <c r="I307" s="249"/>
    </row>
    <row r="308" spans="9:9" x14ac:dyDescent="0.25">
      <c r="I308" s="249"/>
    </row>
    <row r="309" spans="9:9" x14ac:dyDescent="0.25">
      <c r="I309" s="249"/>
    </row>
    <row r="310" spans="9:9" x14ac:dyDescent="0.25">
      <c r="I310" s="249"/>
    </row>
    <row r="311" spans="9:9" x14ac:dyDescent="0.25">
      <c r="I311" s="249"/>
    </row>
    <row r="312" spans="9:9" x14ac:dyDescent="0.25">
      <c r="I312" s="249"/>
    </row>
    <row r="313" spans="9:9" x14ac:dyDescent="0.25">
      <c r="I313" s="249"/>
    </row>
    <row r="314" spans="9:9" x14ac:dyDescent="0.25">
      <c r="I314" s="249"/>
    </row>
    <row r="315" spans="9:9" x14ac:dyDescent="0.25">
      <c r="I315" s="249"/>
    </row>
    <row r="316" spans="9:9" x14ac:dyDescent="0.25">
      <c r="I316" s="249"/>
    </row>
    <row r="317" spans="9:9" x14ac:dyDescent="0.25">
      <c r="I317" s="249"/>
    </row>
    <row r="318" spans="9:9" x14ac:dyDescent="0.25">
      <c r="I318" s="249"/>
    </row>
    <row r="319" spans="9:9" x14ac:dyDescent="0.25">
      <c r="I319" s="249"/>
    </row>
    <row r="320" spans="9:9" x14ac:dyDescent="0.25">
      <c r="I320" s="249"/>
    </row>
    <row r="321" spans="9:9" x14ac:dyDescent="0.25">
      <c r="I321" s="249"/>
    </row>
    <row r="322" spans="9:9" x14ac:dyDescent="0.25">
      <c r="I322" s="249"/>
    </row>
    <row r="323" spans="9:9" x14ac:dyDescent="0.25">
      <c r="I323" s="249"/>
    </row>
    <row r="324" spans="9:9" x14ac:dyDescent="0.25">
      <c r="I324" s="249"/>
    </row>
    <row r="325" spans="9:9" x14ac:dyDescent="0.25">
      <c r="I325" s="249"/>
    </row>
    <row r="326" spans="9:9" x14ac:dyDescent="0.25">
      <c r="I326" s="249"/>
    </row>
    <row r="327" spans="9:9" x14ac:dyDescent="0.25">
      <c r="I327" s="249"/>
    </row>
    <row r="328" spans="9:9" x14ac:dyDescent="0.25">
      <c r="I328" s="249"/>
    </row>
    <row r="329" spans="9:9" x14ac:dyDescent="0.25">
      <c r="I329" s="249"/>
    </row>
    <row r="330" spans="9:9" x14ac:dyDescent="0.25">
      <c r="I330" s="249"/>
    </row>
    <row r="331" spans="9:9" x14ac:dyDescent="0.25">
      <c r="I331" s="249"/>
    </row>
    <row r="332" spans="9:9" x14ac:dyDescent="0.25">
      <c r="I332" s="249"/>
    </row>
    <row r="333" spans="9:9" x14ac:dyDescent="0.25">
      <c r="I333" s="249"/>
    </row>
    <row r="334" spans="9:9" x14ac:dyDescent="0.25">
      <c r="I334" s="249"/>
    </row>
    <row r="335" spans="9:9" x14ac:dyDescent="0.25">
      <c r="I335" s="249"/>
    </row>
    <row r="336" spans="9:9" x14ac:dyDescent="0.25">
      <c r="I336" s="249"/>
    </row>
    <row r="337" spans="9:9" x14ac:dyDescent="0.25">
      <c r="I337" s="249"/>
    </row>
    <row r="338" spans="9:9" x14ac:dyDescent="0.25">
      <c r="I338" s="249"/>
    </row>
    <row r="339" spans="9:9" x14ac:dyDescent="0.25">
      <c r="I339" s="249"/>
    </row>
    <row r="340" spans="9:9" x14ac:dyDescent="0.25">
      <c r="I340" s="249"/>
    </row>
    <row r="341" spans="9:9" x14ac:dyDescent="0.25">
      <c r="I341" s="249"/>
    </row>
    <row r="342" spans="9:9" x14ac:dyDescent="0.25">
      <c r="I342" s="249"/>
    </row>
    <row r="343" spans="9:9" x14ac:dyDescent="0.25">
      <c r="I343" s="249"/>
    </row>
    <row r="344" spans="9:9" x14ac:dyDescent="0.25">
      <c r="I344" s="249"/>
    </row>
    <row r="345" spans="9:9" x14ac:dyDescent="0.25">
      <c r="I345" s="249"/>
    </row>
    <row r="346" spans="9:9" x14ac:dyDescent="0.25">
      <c r="I346" s="249"/>
    </row>
    <row r="347" spans="9:9" x14ac:dyDescent="0.25">
      <c r="I347" s="249"/>
    </row>
    <row r="348" spans="9:9" x14ac:dyDescent="0.25">
      <c r="I348" s="249"/>
    </row>
    <row r="349" spans="9:9" x14ac:dyDescent="0.25">
      <c r="I349" s="249"/>
    </row>
    <row r="350" spans="9:9" x14ac:dyDescent="0.25">
      <c r="I350" s="249"/>
    </row>
    <row r="351" spans="9:9" x14ac:dyDescent="0.25">
      <c r="I351" s="249"/>
    </row>
    <row r="352" spans="9:9" x14ac:dyDescent="0.25">
      <c r="I352" s="249"/>
    </row>
    <row r="353" spans="9:9" x14ac:dyDescent="0.25">
      <c r="I353" s="249"/>
    </row>
    <row r="354" spans="9:9" x14ac:dyDescent="0.25">
      <c r="I354" s="249"/>
    </row>
    <row r="355" spans="9:9" x14ac:dyDescent="0.25">
      <c r="I355" s="249"/>
    </row>
    <row r="356" spans="9:9" x14ac:dyDescent="0.25">
      <c r="I356" s="249"/>
    </row>
    <row r="357" spans="9:9" x14ac:dyDescent="0.25">
      <c r="I357" s="249"/>
    </row>
    <row r="358" spans="9:9" x14ac:dyDescent="0.25">
      <c r="I358" s="249"/>
    </row>
    <row r="359" spans="9:9" x14ac:dyDescent="0.25">
      <c r="I359" s="249"/>
    </row>
    <row r="360" spans="9:9" x14ac:dyDescent="0.25">
      <c r="I360" s="249"/>
    </row>
    <row r="361" spans="9:9" x14ac:dyDescent="0.25">
      <c r="I361" s="249"/>
    </row>
    <row r="362" spans="9:9" x14ac:dyDescent="0.25">
      <c r="I362" s="249"/>
    </row>
    <row r="363" spans="9:9" x14ac:dyDescent="0.25">
      <c r="I363" s="249"/>
    </row>
    <row r="364" spans="9:9" x14ac:dyDescent="0.25">
      <c r="I364" s="249"/>
    </row>
    <row r="365" spans="9:9" x14ac:dyDescent="0.25">
      <c r="I365" s="249"/>
    </row>
    <row r="366" spans="9:9" x14ac:dyDescent="0.25">
      <c r="I366" s="249"/>
    </row>
    <row r="367" spans="9:9" x14ac:dyDescent="0.25">
      <c r="I367" s="249"/>
    </row>
    <row r="368" spans="9:9" x14ac:dyDescent="0.25">
      <c r="I368" s="249"/>
    </row>
    <row r="369" spans="9:9" x14ac:dyDescent="0.25">
      <c r="I369" s="249"/>
    </row>
    <row r="370" spans="9:9" x14ac:dyDescent="0.25">
      <c r="I370" s="249"/>
    </row>
    <row r="371" spans="9:9" x14ac:dyDescent="0.25">
      <c r="I371" s="249"/>
    </row>
    <row r="372" spans="9:9" x14ac:dyDescent="0.25">
      <c r="I372" s="249"/>
    </row>
    <row r="373" spans="9:9" x14ac:dyDescent="0.25">
      <c r="I373" s="249"/>
    </row>
    <row r="374" spans="9:9" x14ac:dyDescent="0.25">
      <c r="I374" s="249"/>
    </row>
    <row r="375" spans="9:9" x14ac:dyDescent="0.25">
      <c r="I375" s="249"/>
    </row>
    <row r="376" spans="9:9" x14ac:dyDescent="0.25">
      <c r="I376" s="249"/>
    </row>
    <row r="377" spans="9:9" x14ac:dyDescent="0.25">
      <c r="I377" s="249"/>
    </row>
    <row r="378" spans="9:9" x14ac:dyDescent="0.25">
      <c r="I378" s="249"/>
    </row>
    <row r="379" spans="9:9" x14ac:dyDescent="0.25">
      <c r="I379" s="249"/>
    </row>
    <row r="380" spans="9:9" x14ac:dyDescent="0.25">
      <c r="I380" s="249"/>
    </row>
    <row r="381" spans="9:9" x14ac:dyDescent="0.25">
      <c r="I381" s="249"/>
    </row>
    <row r="382" spans="9:9" x14ac:dyDescent="0.25">
      <c r="I382" s="249"/>
    </row>
    <row r="383" spans="9:9" x14ac:dyDescent="0.25">
      <c r="I383" s="249"/>
    </row>
    <row r="384" spans="9:9" x14ac:dyDescent="0.25">
      <c r="I384" s="249"/>
    </row>
    <row r="385" spans="9:9" x14ac:dyDescent="0.25">
      <c r="I385" s="249"/>
    </row>
    <row r="386" spans="9:9" x14ac:dyDescent="0.25">
      <c r="I386" s="249"/>
    </row>
    <row r="387" spans="9:9" x14ac:dyDescent="0.25">
      <c r="I387" s="249"/>
    </row>
    <row r="388" spans="9:9" x14ac:dyDescent="0.25">
      <c r="I388" s="249"/>
    </row>
    <row r="389" spans="9:9" x14ac:dyDescent="0.25">
      <c r="I389" s="249"/>
    </row>
    <row r="390" spans="9:9" x14ac:dyDescent="0.25">
      <c r="I390" s="249"/>
    </row>
    <row r="391" spans="9:9" x14ac:dyDescent="0.25">
      <c r="I391" s="249"/>
    </row>
    <row r="392" spans="9:9" x14ac:dyDescent="0.25">
      <c r="I392" s="249"/>
    </row>
    <row r="393" spans="9:9" x14ac:dyDescent="0.25">
      <c r="I393" s="249"/>
    </row>
    <row r="394" spans="9:9" x14ac:dyDescent="0.25">
      <c r="I394" s="249"/>
    </row>
    <row r="395" spans="9:9" x14ac:dyDescent="0.25">
      <c r="I395" s="249"/>
    </row>
    <row r="396" spans="9:9" x14ac:dyDescent="0.25">
      <c r="I396" s="249"/>
    </row>
    <row r="397" spans="9:9" x14ac:dyDescent="0.25">
      <c r="I397" s="249"/>
    </row>
    <row r="398" spans="9:9" x14ac:dyDescent="0.25">
      <c r="I398" s="249"/>
    </row>
    <row r="399" spans="9:9" x14ac:dyDescent="0.25">
      <c r="I399" s="249"/>
    </row>
    <row r="400" spans="9:9" x14ac:dyDescent="0.25">
      <c r="I400" s="249"/>
    </row>
    <row r="401" spans="9:9" x14ac:dyDescent="0.25">
      <c r="I401" s="249"/>
    </row>
    <row r="402" spans="9:9" x14ac:dyDescent="0.25">
      <c r="I402" s="249"/>
    </row>
    <row r="403" spans="9:9" x14ac:dyDescent="0.25">
      <c r="I403" s="249"/>
    </row>
    <row r="404" spans="9:9" x14ac:dyDescent="0.25">
      <c r="I404" s="249"/>
    </row>
    <row r="405" spans="9:9" x14ac:dyDescent="0.25">
      <c r="I405" s="249"/>
    </row>
    <row r="406" spans="9:9" x14ac:dyDescent="0.25">
      <c r="I406" s="249"/>
    </row>
    <row r="407" spans="9:9" x14ac:dyDescent="0.25">
      <c r="I407" s="249"/>
    </row>
    <row r="408" spans="9:9" x14ac:dyDescent="0.25">
      <c r="I408" s="249"/>
    </row>
    <row r="409" spans="9:9" x14ac:dyDescent="0.25">
      <c r="I409" s="249"/>
    </row>
    <row r="410" spans="9:9" x14ac:dyDescent="0.25">
      <c r="I410" s="249"/>
    </row>
    <row r="411" spans="9:9" x14ac:dyDescent="0.25">
      <c r="I411" s="249"/>
    </row>
    <row r="412" spans="9:9" x14ac:dyDescent="0.25">
      <c r="I412" s="249"/>
    </row>
    <row r="413" spans="9:9" x14ac:dyDescent="0.25">
      <c r="I413" s="249"/>
    </row>
    <row r="414" spans="9:9" x14ac:dyDescent="0.25">
      <c r="I414" s="249"/>
    </row>
    <row r="415" spans="9:9" x14ac:dyDescent="0.25">
      <c r="I415" s="249"/>
    </row>
    <row r="416" spans="9:9" x14ac:dyDescent="0.25">
      <c r="I416" s="249"/>
    </row>
    <row r="417" spans="9:9" x14ac:dyDescent="0.25">
      <c r="I417" s="249"/>
    </row>
    <row r="418" spans="9:9" x14ac:dyDescent="0.25">
      <c r="I418" s="249"/>
    </row>
    <row r="419" spans="9:9" x14ac:dyDescent="0.25">
      <c r="I419" s="249"/>
    </row>
    <row r="420" spans="9:9" x14ac:dyDescent="0.25">
      <c r="I420" s="249"/>
    </row>
    <row r="421" spans="9:9" x14ac:dyDescent="0.25">
      <c r="I421" s="249"/>
    </row>
    <row r="422" spans="9:9" x14ac:dyDescent="0.25">
      <c r="I422" s="249"/>
    </row>
    <row r="423" spans="9:9" x14ac:dyDescent="0.25">
      <c r="I423" s="249"/>
    </row>
    <row r="424" spans="9:9" x14ac:dyDescent="0.25">
      <c r="I424" s="249"/>
    </row>
    <row r="425" spans="9:9" x14ac:dyDescent="0.25">
      <c r="I425" s="249"/>
    </row>
    <row r="426" spans="9:9" x14ac:dyDescent="0.25">
      <c r="I426" s="249"/>
    </row>
    <row r="427" spans="9:9" x14ac:dyDescent="0.25">
      <c r="I427" s="249"/>
    </row>
    <row r="428" spans="9:9" x14ac:dyDescent="0.25">
      <c r="I428" s="249"/>
    </row>
    <row r="429" spans="9:9" x14ac:dyDescent="0.25">
      <c r="I429" s="249"/>
    </row>
    <row r="430" spans="9:9" x14ac:dyDescent="0.25">
      <c r="I430" s="249"/>
    </row>
    <row r="431" spans="9:9" x14ac:dyDescent="0.25">
      <c r="I431" s="249"/>
    </row>
    <row r="432" spans="9:9" x14ac:dyDescent="0.25">
      <c r="I432" s="249"/>
    </row>
    <row r="433" spans="9:9" x14ac:dyDescent="0.25">
      <c r="I433" s="249"/>
    </row>
    <row r="434" spans="9:9" x14ac:dyDescent="0.25">
      <c r="I434" s="249"/>
    </row>
    <row r="435" spans="9:9" x14ac:dyDescent="0.25">
      <c r="I435" s="249"/>
    </row>
    <row r="436" spans="9:9" x14ac:dyDescent="0.25">
      <c r="I436" s="249"/>
    </row>
    <row r="437" spans="9:9" x14ac:dyDescent="0.25">
      <c r="I437" s="249"/>
    </row>
    <row r="438" spans="9:9" x14ac:dyDescent="0.25">
      <c r="I438" s="249"/>
    </row>
    <row r="439" spans="9:9" x14ac:dyDescent="0.25">
      <c r="I439" s="249"/>
    </row>
    <row r="440" spans="9:9" x14ac:dyDescent="0.25">
      <c r="I440" s="249"/>
    </row>
    <row r="441" spans="9:9" x14ac:dyDescent="0.25">
      <c r="I441" s="249"/>
    </row>
    <row r="442" spans="9:9" x14ac:dyDescent="0.25">
      <c r="I442" s="249"/>
    </row>
    <row r="443" spans="9:9" x14ac:dyDescent="0.25">
      <c r="I443" s="249"/>
    </row>
    <row r="444" spans="9:9" x14ac:dyDescent="0.25">
      <c r="I444" s="249"/>
    </row>
    <row r="445" spans="9:9" x14ac:dyDescent="0.25">
      <c r="I445" s="249"/>
    </row>
    <row r="446" spans="9:9" x14ac:dyDescent="0.25">
      <c r="I446" s="249"/>
    </row>
    <row r="447" spans="9:9" x14ac:dyDescent="0.25">
      <c r="I447" s="249"/>
    </row>
    <row r="448" spans="9:9" x14ac:dyDescent="0.25">
      <c r="I448" s="249"/>
    </row>
    <row r="449" spans="9:9" x14ac:dyDescent="0.25">
      <c r="I449" s="249"/>
    </row>
    <row r="450" spans="9:9" x14ac:dyDescent="0.25">
      <c r="I450" s="249"/>
    </row>
    <row r="451" spans="9:9" x14ac:dyDescent="0.25">
      <c r="I451" s="249"/>
    </row>
    <row r="452" spans="9:9" x14ac:dyDescent="0.25">
      <c r="I452" s="249"/>
    </row>
    <row r="453" spans="9:9" x14ac:dyDescent="0.25">
      <c r="I453" s="249"/>
    </row>
    <row r="454" spans="9:9" x14ac:dyDescent="0.25">
      <c r="I454" s="249"/>
    </row>
    <row r="455" spans="9:9" x14ac:dyDescent="0.25">
      <c r="I455" s="249"/>
    </row>
    <row r="456" spans="9:9" x14ac:dyDescent="0.25">
      <c r="I456" s="249"/>
    </row>
    <row r="457" spans="9:9" x14ac:dyDescent="0.25">
      <c r="I457" s="249"/>
    </row>
    <row r="458" spans="9:9" x14ac:dyDescent="0.25">
      <c r="I458" s="249"/>
    </row>
    <row r="459" spans="9:9" x14ac:dyDescent="0.25">
      <c r="I459" s="249"/>
    </row>
    <row r="460" spans="9:9" x14ac:dyDescent="0.25">
      <c r="I460" s="249"/>
    </row>
    <row r="461" spans="9:9" x14ac:dyDescent="0.25">
      <c r="I461" s="249"/>
    </row>
    <row r="462" spans="9:9" x14ac:dyDescent="0.25">
      <c r="I462" s="249"/>
    </row>
    <row r="463" spans="9:9" x14ac:dyDescent="0.25">
      <c r="I463" s="249"/>
    </row>
    <row r="464" spans="9:9" x14ac:dyDescent="0.25">
      <c r="I464" s="249"/>
    </row>
    <row r="465" spans="9:9" x14ac:dyDescent="0.25">
      <c r="I465" s="249"/>
    </row>
    <row r="466" spans="9:9" x14ac:dyDescent="0.25">
      <c r="I466" s="249"/>
    </row>
    <row r="467" spans="9:9" x14ac:dyDescent="0.25">
      <c r="I467" s="249"/>
    </row>
    <row r="468" spans="9:9" x14ac:dyDescent="0.25">
      <c r="I468" s="249"/>
    </row>
    <row r="469" spans="9:9" x14ac:dyDescent="0.25">
      <c r="I469" s="249"/>
    </row>
    <row r="470" spans="9:9" x14ac:dyDescent="0.25">
      <c r="I470" s="249"/>
    </row>
    <row r="471" spans="9:9" x14ac:dyDescent="0.25">
      <c r="I471" s="249"/>
    </row>
    <row r="472" spans="9:9" x14ac:dyDescent="0.25">
      <c r="I472" s="249"/>
    </row>
    <row r="473" spans="9:9" x14ac:dyDescent="0.25">
      <c r="I473" s="249"/>
    </row>
    <row r="474" spans="9:9" x14ac:dyDescent="0.25">
      <c r="I474" s="249"/>
    </row>
    <row r="475" spans="9:9" x14ac:dyDescent="0.25">
      <c r="I475" s="249"/>
    </row>
    <row r="476" spans="9:9" x14ac:dyDescent="0.25">
      <c r="I476" s="249"/>
    </row>
    <row r="477" spans="9:9" x14ac:dyDescent="0.25">
      <c r="I477" s="249"/>
    </row>
    <row r="478" spans="9:9" x14ac:dyDescent="0.25">
      <c r="I478" s="249"/>
    </row>
    <row r="479" spans="9:9" x14ac:dyDescent="0.25">
      <c r="I479" s="249"/>
    </row>
    <row r="480" spans="9:9" x14ac:dyDescent="0.25">
      <c r="I480" s="249"/>
    </row>
    <row r="481" spans="9:9" x14ac:dyDescent="0.25">
      <c r="I481" s="249"/>
    </row>
    <row r="482" spans="9:9" x14ac:dyDescent="0.25">
      <c r="I482" s="249"/>
    </row>
    <row r="483" spans="9:9" x14ac:dyDescent="0.25">
      <c r="I483" s="249"/>
    </row>
    <row r="484" spans="9:9" x14ac:dyDescent="0.25">
      <c r="I484" s="249"/>
    </row>
    <row r="485" spans="9:9" x14ac:dyDescent="0.25">
      <c r="I485" s="249"/>
    </row>
    <row r="486" spans="9:9" x14ac:dyDescent="0.25">
      <c r="I486" s="249"/>
    </row>
    <row r="487" spans="9:9" x14ac:dyDescent="0.25">
      <c r="I487" s="249"/>
    </row>
    <row r="488" spans="9:9" x14ac:dyDescent="0.25">
      <c r="I488" s="249"/>
    </row>
    <row r="489" spans="9:9" x14ac:dyDescent="0.25">
      <c r="I489" s="249"/>
    </row>
    <row r="490" spans="9:9" x14ac:dyDescent="0.25">
      <c r="I490" s="249"/>
    </row>
    <row r="491" spans="9:9" x14ac:dyDescent="0.25">
      <c r="I491" s="249"/>
    </row>
    <row r="492" spans="9:9" x14ac:dyDescent="0.25">
      <c r="I492" s="249"/>
    </row>
    <row r="493" spans="9:9" x14ac:dyDescent="0.25">
      <c r="I493" s="249"/>
    </row>
    <row r="494" spans="9:9" x14ac:dyDescent="0.25">
      <c r="I494" s="249"/>
    </row>
    <row r="495" spans="9:9" x14ac:dyDescent="0.25">
      <c r="I495" s="249"/>
    </row>
    <row r="496" spans="9:9" x14ac:dyDescent="0.25">
      <c r="I496" s="249"/>
    </row>
    <row r="497" spans="9:9" x14ac:dyDescent="0.25">
      <c r="I497" s="249"/>
    </row>
    <row r="498" spans="9:9" x14ac:dyDescent="0.25">
      <c r="I498" s="249"/>
    </row>
    <row r="499" spans="9:9" x14ac:dyDescent="0.25">
      <c r="I499" s="249"/>
    </row>
    <row r="500" spans="9:9" x14ac:dyDescent="0.25">
      <c r="I500" s="249"/>
    </row>
    <row r="501" spans="9:9" x14ac:dyDescent="0.25">
      <c r="I501" s="249"/>
    </row>
    <row r="502" spans="9:9" x14ac:dyDescent="0.25">
      <c r="I502" s="249"/>
    </row>
    <row r="503" spans="9:9" x14ac:dyDescent="0.25">
      <c r="I503" s="249"/>
    </row>
    <row r="504" spans="9:9" x14ac:dyDescent="0.25">
      <c r="I504" s="249"/>
    </row>
    <row r="505" spans="9:9" x14ac:dyDescent="0.25">
      <c r="I505" s="249"/>
    </row>
    <row r="506" spans="9:9" x14ac:dyDescent="0.25">
      <c r="I506" s="249"/>
    </row>
    <row r="507" spans="9:9" x14ac:dyDescent="0.25">
      <c r="I507" s="249"/>
    </row>
    <row r="508" spans="9:9" x14ac:dyDescent="0.25">
      <c r="I508" s="249"/>
    </row>
    <row r="509" spans="9:9" x14ac:dyDescent="0.25">
      <c r="I509" s="249"/>
    </row>
  </sheetData>
  <mergeCells count="10">
    <mergeCell ref="H6:H7"/>
    <mergeCell ref="A8:G8"/>
    <mergeCell ref="A2:G2"/>
    <mergeCell ref="A4:G4"/>
    <mergeCell ref="A6:A7"/>
    <mergeCell ref="B6:B7"/>
    <mergeCell ref="C6:C7"/>
    <mergeCell ref="D6:D7"/>
    <mergeCell ref="E6:F6"/>
    <mergeCell ref="G6:G7"/>
  </mergeCells>
  <pageMargins left="0.70866141732283472" right="0.70866141732283472" top="0.74803149606299213" bottom="0.35433070866141736" header="0.31496062992125984" footer="0.31496062992125984"/>
  <pageSetup paperSize="9" scale="80" fitToHeight="0" orientation="landscape" r:id="rId1"/>
  <rowBreaks count="5" manualBreakCount="5">
    <brk id="20" max="7" man="1"/>
    <brk id="25" max="7" man="1"/>
    <brk id="39" max="7" man="1"/>
    <brk id="53" max="7" man="1"/>
    <brk id="6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topLeftCell="A7" zoomScaleNormal="100" zoomScaleSheetLayoutView="100" workbookViewId="0">
      <selection activeCell="N18" sqref="N18"/>
    </sheetView>
  </sheetViews>
  <sheetFormatPr defaultRowHeight="15" x14ac:dyDescent="0.25"/>
  <cols>
    <col min="1" max="1" width="7.5703125" style="7" customWidth="1"/>
    <col min="2" max="2" width="62.42578125" style="7" customWidth="1"/>
    <col min="3" max="3" width="14.140625" style="7" customWidth="1"/>
    <col min="4" max="4" width="12.42578125" style="7" customWidth="1"/>
    <col min="5" max="5" width="12.140625" style="7" customWidth="1"/>
    <col min="6" max="6" width="13.85546875" style="7" customWidth="1"/>
    <col min="7" max="7" width="23.7109375" style="15" customWidth="1"/>
    <col min="8" max="8" width="20.7109375" style="15" customWidth="1"/>
    <col min="9" max="9" width="22.140625" style="15" customWidth="1"/>
    <col min="10" max="10" width="15.5703125" style="15" customWidth="1"/>
    <col min="11" max="11" width="0.28515625" style="7" customWidth="1"/>
    <col min="12" max="12" width="22.28515625" style="171" hidden="1" customWidth="1"/>
    <col min="13" max="256" width="9.140625" style="7"/>
    <col min="257" max="257" width="7.5703125" style="7" customWidth="1"/>
    <col min="258" max="258" width="62.42578125" style="7" customWidth="1"/>
    <col min="259" max="259" width="14.140625" style="7" customWidth="1"/>
    <col min="260" max="260" width="12.42578125" style="7" customWidth="1"/>
    <col min="261" max="261" width="12.140625" style="7" customWidth="1"/>
    <col min="262" max="262" width="12.28515625" style="7" customWidth="1"/>
    <col min="263" max="263" width="62.7109375" style="7" customWidth="1"/>
    <col min="264" max="264" width="26.42578125" style="7" customWidth="1"/>
    <col min="265" max="265" width="22.7109375" style="7" customWidth="1"/>
    <col min="266" max="266" width="15.5703125" style="7" customWidth="1"/>
    <col min="267" max="267" width="27.28515625" style="7" customWidth="1"/>
    <col min="268" max="268" width="22.28515625" style="7" customWidth="1"/>
    <col min="269" max="512" width="9.140625" style="7"/>
    <col min="513" max="513" width="7.5703125" style="7" customWidth="1"/>
    <col min="514" max="514" width="62.42578125" style="7" customWidth="1"/>
    <col min="515" max="515" width="14.140625" style="7" customWidth="1"/>
    <col min="516" max="516" width="12.42578125" style="7" customWidth="1"/>
    <col min="517" max="517" width="12.140625" style="7" customWidth="1"/>
    <col min="518" max="518" width="12.28515625" style="7" customWidth="1"/>
    <col min="519" max="519" width="62.7109375" style="7" customWidth="1"/>
    <col min="520" max="520" width="26.42578125" style="7" customWidth="1"/>
    <col min="521" max="521" width="22.7109375" style="7" customWidth="1"/>
    <col min="522" max="522" width="15.5703125" style="7" customWidth="1"/>
    <col min="523" max="523" width="27.28515625" style="7" customWidth="1"/>
    <col min="524" max="524" width="22.28515625" style="7" customWidth="1"/>
    <col min="525" max="768" width="9.140625" style="7"/>
    <col min="769" max="769" width="7.5703125" style="7" customWidth="1"/>
    <col min="770" max="770" width="62.42578125" style="7" customWidth="1"/>
    <col min="771" max="771" width="14.140625" style="7" customWidth="1"/>
    <col min="772" max="772" width="12.42578125" style="7" customWidth="1"/>
    <col min="773" max="773" width="12.140625" style="7" customWidth="1"/>
    <col min="774" max="774" width="12.28515625" style="7" customWidth="1"/>
    <col min="775" max="775" width="62.7109375" style="7" customWidth="1"/>
    <col min="776" max="776" width="26.42578125" style="7" customWidth="1"/>
    <col min="777" max="777" width="22.7109375" style="7" customWidth="1"/>
    <col min="778" max="778" width="15.5703125" style="7" customWidth="1"/>
    <col min="779" max="779" width="27.28515625" style="7" customWidth="1"/>
    <col min="780" max="780" width="22.28515625" style="7" customWidth="1"/>
    <col min="781" max="1024" width="9.140625" style="7"/>
    <col min="1025" max="1025" width="7.5703125" style="7" customWidth="1"/>
    <col min="1026" max="1026" width="62.42578125" style="7" customWidth="1"/>
    <col min="1027" max="1027" width="14.140625" style="7" customWidth="1"/>
    <col min="1028" max="1028" width="12.42578125" style="7" customWidth="1"/>
    <col min="1029" max="1029" width="12.140625" style="7" customWidth="1"/>
    <col min="1030" max="1030" width="12.28515625" style="7" customWidth="1"/>
    <col min="1031" max="1031" width="62.7109375" style="7" customWidth="1"/>
    <col min="1032" max="1032" width="26.42578125" style="7" customWidth="1"/>
    <col min="1033" max="1033" width="22.7109375" style="7" customWidth="1"/>
    <col min="1034" max="1034" width="15.5703125" style="7" customWidth="1"/>
    <col min="1035" max="1035" width="27.28515625" style="7" customWidth="1"/>
    <col min="1036" max="1036" width="22.28515625" style="7" customWidth="1"/>
    <col min="1037" max="1280" width="9.140625" style="7"/>
    <col min="1281" max="1281" width="7.5703125" style="7" customWidth="1"/>
    <col min="1282" max="1282" width="62.42578125" style="7" customWidth="1"/>
    <col min="1283" max="1283" width="14.140625" style="7" customWidth="1"/>
    <col min="1284" max="1284" width="12.42578125" style="7" customWidth="1"/>
    <col min="1285" max="1285" width="12.140625" style="7" customWidth="1"/>
    <col min="1286" max="1286" width="12.28515625" style="7" customWidth="1"/>
    <col min="1287" max="1287" width="62.7109375" style="7" customWidth="1"/>
    <col min="1288" max="1288" width="26.42578125" style="7" customWidth="1"/>
    <col min="1289" max="1289" width="22.7109375" style="7" customWidth="1"/>
    <col min="1290" max="1290" width="15.5703125" style="7" customWidth="1"/>
    <col min="1291" max="1291" width="27.28515625" style="7" customWidth="1"/>
    <col min="1292" max="1292" width="22.28515625" style="7" customWidth="1"/>
    <col min="1293" max="1536" width="9.140625" style="7"/>
    <col min="1537" max="1537" width="7.5703125" style="7" customWidth="1"/>
    <col min="1538" max="1538" width="62.42578125" style="7" customWidth="1"/>
    <col min="1539" max="1539" width="14.140625" style="7" customWidth="1"/>
    <col min="1540" max="1540" width="12.42578125" style="7" customWidth="1"/>
    <col min="1541" max="1541" width="12.140625" style="7" customWidth="1"/>
    <col min="1542" max="1542" width="12.28515625" style="7" customWidth="1"/>
    <col min="1543" max="1543" width="62.7109375" style="7" customWidth="1"/>
    <col min="1544" max="1544" width="26.42578125" style="7" customWidth="1"/>
    <col min="1545" max="1545" width="22.7109375" style="7" customWidth="1"/>
    <col min="1546" max="1546" width="15.5703125" style="7" customWidth="1"/>
    <col min="1547" max="1547" width="27.28515625" style="7" customWidth="1"/>
    <col min="1548" max="1548" width="22.28515625" style="7" customWidth="1"/>
    <col min="1549" max="1792" width="9.140625" style="7"/>
    <col min="1793" max="1793" width="7.5703125" style="7" customWidth="1"/>
    <col min="1794" max="1794" width="62.42578125" style="7" customWidth="1"/>
    <col min="1795" max="1795" width="14.140625" style="7" customWidth="1"/>
    <col min="1796" max="1796" width="12.42578125" style="7" customWidth="1"/>
    <col min="1797" max="1797" width="12.140625" style="7" customWidth="1"/>
    <col min="1798" max="1798" width="12.28515625" style="7" customWidth="1"/>
    <col min="1799" max="1799" width="62.7109375" style="7" customWidth="1"/>
    <col min="1800" max="1800" width="26.42578125" style="7" customWidth="1"/>
    <col min="1801" max="1801" width="22.7109375" style="7" customWidth="1"/>
    <col min="1802" max="1802" width="15.5703125" style="7" customWidth="1"/>
    <col min="1803" max="1803" width="27.28515625" style="7" customWidth="1"/>
    <col min="1804" max="1804" width="22.28515625" style="7" customWidth="1"/>
    <col min="1805" max="2048" width="9.140625" style="7"/>
    <col min="2049" max="2049" width="7.5703125" style="7" customWidth="1"/>
    <col min="2050" max="2050" width="62.42578125" style="7" customWidth="1"/>
    <col min="2051" max="2051" width="14.140625" style="7" customWidth="1"/>
    <col min="2052" max="2052" width="12.42578125" style="7" customWidth="1"/>
    <col min="2053" max="2053" width="12.140625" style="7" customWidth="1"/>
    <col min="2054" max="2054" width="12.28515625" style="7" customWidth="1"/>
    <col min="2055" max="2055" width="62.7109375" style="7" customWidth="1"/>
    <col min="2056" max="2056" width="26.42578125" style="7" customWidth="1"/>
    <col min="2057" max="2057" width="22.7109375" style="7" customWidth="1"/>
    <col min="2058" max="2058" width="15.5703125" style="7" customWidth="1"/>
    <col min="2059" max="2059" width="27.28515625" style="7" customWidth="1"/>
    <col min="2060" max="2060" width="22.28515625" style="7" customWidth="1"/>
    <col min="2061" max="2304" width="9.140625" style="7"/>
    <col min="2305" max="2305" width="7.5703125" style="7" customWidth="1"/>
    <col min="2306" max="2306" width="62.42578125" style="7" customWidth="1"/>
    <col min="2307" max="2307" width="14.140625" style="7" customWidth="1"/>
    <col min="2308" max="2308" width="12.42578125" style="7" customWidth="1"/>
    <col min="2309" max="2309" width="12.140625" style="7" customWidth="1"/>
    <col min="2310" max="2310" width="12.28515625" style="7" customWidth="1"/>
    <col min="2311" max="2311" width="62.7109375" style="7" customWidth="1"/>
    <col min="2312" max="2312" width="26.42578125" style="7" customWidth="1"/>
    <col min="2313" max="2313" width="22.7109375" style="7" customWidth="1"/>
    <col min="2314" max="2314" width="15.5703125" style="7" customWidth="1"/>
    <col min="2315" max="2315" width="27.28515625" style="7" customWidth="1"/>
    <col min="2316" max="2316" width="22.28515625" style="7" customWidth="1"/>
    <col min="2317" max="2560" width="9.140625" style="7"/>
    <col min="2561" max="2561" width="7.5703125" style="7" customWidth="1"/>
    <col min="2562" max="2562" width="62.42578125" style="7" customWidth="1"/>
    <col min="2563" max="2563" width="14.140625" style="7" customWidth="1"/>
    <col min="2564" max="2564" width="12.42578125" style="7" customWidth="1"/>
    <col min="2565" max="2565" width="12.140625" style="7" customWidth="1"/>
    <col min="2566" max="2566" width="12.28515625" style="7" customWidth="1"/>
    <col min="2567" max="2567" width="62.7109375" style="7" customWidth="1"/>
    <col min="2568" max="2568" width="26.42578125" style="7" customWidth="1"/>
    <col min="2569" max="2569" width="22.7109375" style="7" customWidth="1"/>
    <col min="2570" max="2570" width="15.5703125" style="7" customWidth="1"/>
    <col min="2571" max="2571" width="27.28515625" style="7" customWidth="1"/>
    <col min="2572" max="2572" width="22.28515625" style="7" customWidth="1"/>
    <col min="2573" max="2816" width="9.140625" style="7"/>
    <col min="2817" max="2817" width="7.5703125" style="7" customWidth="1"/>
    <col min="2818" max="2818" width="62.42578125" style="7" customWidth="1"/>
    <col min="2819" max="2819" width="14.140625" style="7" customWidth="1"/>
    <col min="2820" max="2820" width="12.42578125" style="7" customWidth="1"/>
    <col min="2821" max="2821" width="12.140625" style="7" customWidth="1"/>
    <col min="2822" max="2822" width="12.28515625" style="7" customWidth="1"/>
    <col min="2823" max="2823" width="62.7109375" style="7" customWidth="1"/>
    <col min="2824" max="2824" width="26.42578125" style="7" customWidth="1"/>
    <col min="2825" max="2825" width="22.7109375" style="7" customWidth="1"/>
    <col min="2826" max="2826" width="15.5703125" style="7" customWidth="1"/>
    <col min="2827" max="2827" width="27.28515625" style="7" customWidth="1"/>
    <col min="2828" max="2828" width="22.28515625" style="7" customWidth="1"/>
    <col min="2829" max="3072" width="9.140625" style="7"/>
    <col min="3073" max="3073" width="7.5703125" style="7" customWidth="1"/>
    <col min="3074" max="3074" width="62.42578125" style="7" customWidth="1"/>
    <col min="3075" max="3075" width="14.140625" style="7" customWidth="1"/>
    <col min="3076" max="3076" width="12.42578125" style="7" customWidth="1"/>
    <col min="3077" max="3077" width="12.140625" style="7" customWidth="1"/>
    <col min="3078" max="3078" width="12.28515625" style="7" customWidth="1"/>
    <col min="3079" max="3079" width="62.7109375" style="7" customWidth="1"/>
    <col min="3080" max="3080" width="26.42578125" style="7" customWidth="1"/>
    <col min="3081" max="3081" width="22.7109375" style="7" customWidth="1"/>
    <col min="3082" max="3082" width="15.5703125" style="7" customWidth="1"/>
    <col min="3083" max="3083" width="27.28515625" style="7" customWidth="1"/>
    <col min="3084" max="3084" width="22.28515625" style="7" customWidth="1"/>
    <col min="3085" max="3328" width="9.140625" style="7"/>
    <col min="3329" max="3329" width="7.5703125" style="7" customWidth="1"/>
    <col min="3330" max="3330" width="62.42578125" style="7" customWidth="1"/>
    <col min="3331" max="3331" width="14.140625" style="7" customWidth="1"/>
    <col min="3332" max="3332" width="12.42578125" style="7" customWidth="1"/>
    <col min="3333" max="3333" width="12.140625" style="7" customWidth="1"/>
    <col min="3334" max="3334" width="12.28515625" style="7" customWidth="1"/>
    <col min="3335" max="3335" width="62.7109375" style="7" customWidth="1"/>
    <col min="3336" max="3336" width="26.42578125" style="7" customWidth="1"/>
    <col min="3337" max="3337" width="22.7109375" style="7" customWidth="1"/>
    <col min="3338" max="3338" width="15.5703125" style="7" customWidth="1"/>
    <col min="3339" max="3339" width="27.28515625" style="7" customWidth="1"/>
    <col min="3340" max="3340" width="22.28515625" style="7" customWidth="1"/>
    <col min="3341" max="3584" width="9.140625" style="7"/>
    <col min="3585" max="3585" width="7.5703125" style="7" customWidth="1"/>
    <col min="3586" max="3586" width="62.42578125" style="7" customWidth="1"/>
    <col min="3587" max="3587" width="14.140625" style="7" customWidth="1"/>
    <col min="3588" max="3588" width="12.42578125" style="7" customWidth="1"/>
    <col min="3589" max="3589" width="12.140625" style="7" customWidth="1"/>
    <col min="3590" max="3590" width="12.28515625" style="7" customWidth="1"/>
    <col min="3591" max="3591" width="62.7109375" style="7" customWidth="1"/>
    <col min="3592" max="3592" width="26.42578125" style="7" customWidth="1"/>
    <col min="3593" max="3593" width="22.7109375" style="7" customWidth="1"/>
    <col min="3594" max="3594" width="15.5703125" style="7" customWidth="1"/>
    <col min="3595" max="3595" width="27.28515625" style="7" customWidth="1"/>
    <col min="3596" max="3596" width="22.28515625" style="7" customWidth="1"/>
    <col min="3597" max="3840" width="9.140625" style="7"/>
    <col min="3841" max="3841" width="7.5703125" style="7" customWidth="1"/>
    <col min="3842" max="3842" width="62.42578125" style="7" customWidth="1"/>
    <col min="3843" max="3843" width="14.140625" style="7" customWidth="1"/>
    <col min="3844" max="3844" width="12.42578125" style="7" customWidth="1"/>
    <col min="3845" max="3845" width="12.140625" style="7" customWidth="1"/>
    <col min="3846" max="3846" width="12.28515625" style="7" customWidth="1"/>
    <col min="3847" max="3847" width="62.7109375" style="7" customWidth="1"/>
    <col min="3848" max="3848" width="26.42578125" style="7" customWidth="1"/>
    <col min="3849" max="3849" width="22.7109375" style="7" customWidth="1"/>
    <col min="3850" max="3850" width="15.5703125" style="7" customWidth="1"/>
    <col min="3851" max="3851" width="27.28515625" style="7" customWidth="1"/>
    <col min="3852" max="3852" width="22.28515625" style="7" customWidth="1"/>
    <col min="3853" max="4096" width="9.140625" style="7"/>
    <col min="4097" max="4097" width="7.5703125" style="7" customWidth="1"/>
    <col min="4098" max="4098" width="62.42578125" style="7" customWidth="1"/>
    <col min="4099" max="4099" width="14.140625" style="7" customWidth="1"/>
    <col min="4100" max="4100" width="12.42578125" style="7" customWidth="1"/>
    <col min="4101" max="4101" width="12.140625" style="7" customWidth="1"/>
    <col min="4102" max="4102" width="12.28515625" style="7" customWidth="1"/>
    <col min="4103" max="4103" width="62.7109375" style="7" customWidth="1"/>
    <col min="4104" max="4104" width="26.42578125" style="7" customWidth="1"/>
    <col min="4105" max="4105" width="22.7109375" style="7" customWidth="1"/>
    <col min="4106" max="4106" width="15.5703125" style="7" customWidth="1"/>
    <col min="4107" max="4107" width="27.28515625" style="7" customWidth="1"/>
    <col min="4108" max="4108" width="22.28515625" style="7" customWidth="1"/>
    <col min="4109" max="4352" width="9.140625" style="7"/>
    <col min="4353" max="4353" width="7.5703125" style="7" customWidth="1"/>
    <col min="4354" max="4354" width="62.42578125" style="7" customWidth="1"/>
    <col min="4355" max="4355" width="14.140625" style="7" customWidth="1"/>
    <col min="4356" max="4356" width="12.42578125" style="7" customWidth="1"/>
    <col min="4357" max="4357" width="12.140625" style="7" customWidth="1"/>
    <col min="4358" max="4358" width="12.28515625" style="7" customWidth="1"/>
    <col min="4359" max="4359" width="62.7109375" style="7" customWidth="1"/>
    <col min="4360" max="4360" width="26.42578125" style="7" customWidth="1"/>
    <col min="4361" max="4361" width="22.7109375" style="7" customWidth="1"/>
    <col min="4362" max="4362" width="15.5703125" style="7" customWidth="1"/>
    <col min="4363" max="4363" width="27.28515625" style="7" customWidth="1"/>
    <col min="4364" max="4364" width="22.28515625" style="7" customWidth="1"/>
    <col min="4365" max="4608" width="9.140625" style="7"/>
    <col min="4609" max="4609" width="7.5703125" style="7" customWidth="1"/>
    <col min="4610" max="4610" width="62.42578125" style="7" customWidth="1"/>
    <col min="4611" max="4611" width="14.140625" style="7" customWidth="1"/>
    <col min="4612" max="4612" width="12.42578125" style="7" customWidth="1"/>
    <col min="4613" max="4613" width="12.140625" style="7" customWidth="1"/>
    <col min="4614" max="4614" width="12.28515625" style="7" customWidth="1"/>
    <col min="4615" max="4615" width="62.7109375" style="7" customWidth="1"/>
    <col min="4616" max="4616" width="26.42578125" style="7" customWidth="1"/>
    <col min="4617" max="4617" width="22.7109375" style="7" customWidth="1"/>
    <col min="4618" max="4618" width="15.5703125" style="7" customWidth="1"/>
    <col min="4619" max="4619" width="27.28515625" style="7" customWidth="1"/>
    <col min="4620" max="4620" width="22.28515625" style="7" customWidth="1"/>
    <col min="4621" max="4864" width="9.140625" style="7"/>
    <col min="4865" max="4865" width="7.5703125" style="7" customWidth="1"/>
    <col min="4866" max="4866" width="62.42578125" style="7" customWidth="1"/>
    <col min="4867" max="4867" width="14.140625" style="7" customWidth="1"/>
    <col min="4868" max="4868" width="12.42578125" style="7" customWidth="1"/>
    <col min="4869" max="4869" width="12.140625" style="7" customWidth="1"/>
    <col min="4870" max="4870" width="12.28515625" style="7" customWidth="1"/>
    <col min="4871" max="4871" width="62.7109375" style="7" customWidth="1"/>
    <col min="4872" max="4872" width="26.42578125" style="7" customWidth="1"/>
    <col min="4873" max="4873" width="22.7109375" style="7" customWidth="1"/>
    <col min="4874" max="4874" width="15.5703125" style="7" customWidth="1"/>
    <col min="4875" max="4875" width="27.28515625" style="7" customWidth="1"/>
    <col min="4876" max="4876" width="22.28515625" style="7" customWidth="1"/>
    <col min="4877" max="5120" width="9.140625" style="7"/>
    <col min="5121" max="5121" width="7.5703125" style="7" customWidth="1"/>
    <col min="5122" max="5122" width="62.42578125" style="7" customWidth="1"/>
    <col min="5123" max="5123" width="14.140625" style="7" customWidth="1"/>
    <col min="5124" max="5124" width="12.42578125" style="7" customWidth="1"/>
    <col min="5125" max="5125" width="12.140625" style="7" customWidth="1"/>
    <col min="5126" max="5126" width="12.28515625" style="7" customWidth="1"/>
    <col min="5127" max="5127" width="62.7109375" style="7" customWidth="1"/>
    <col min="5128" max="5128" width="26.42578125" style="7" customWidth="1"/>
    <col min="5129" max="5129" width="22.7109375" style="7" customWidth="1"/>
    <col min="5130" max="5130" width="15.5703125" style="7" customWidth="1"/>
    <col min="5131" max="5131" width="27.28515625" style="7" customWidth="1"/>
    <col min="5132" max="5132" width="22.28515625" style="7" customWidth="1"/>
    <col min="5133" max="5376" width="9.140625" style="7"/>
    <col min="5377" max="5377" width="7.5703125" style="7" customWidth="1"/>
    <col min="5378" max="5378" width="62.42578125" style="7" customWidth="1"/>
    <col min="5379" max="5379" width="14.140625" style="7" customWidth="1"/>
    <col min="5380" max="5380" width="12.42578125" style="7" customWidth="1"/>
    <col min="5381" max="5381" width="12.140625" style="7" customWidth="1"/>
    <col min="5382" max="5382" width="12.28515625" style="7" customWidth="1"/>
    <col min="5383" max="5383" width="62.7109375" style="7" customWidth="1"/>
    <col min="5384" max="5384" width="26.42578125" style="7" customWidth="1"/>
    <col min="5385" max="5385" width="22.7109375" style="7" customWidth="1"/>
    <col min="5386" max="5386" width="15.5703125" style="7" customWidth="1"/>
    <col min="5387" max="5387" width="27.28515625" style="7" customWidth="1"/>
    <col min="5388" max="5388" width="22.28515625" style="7" customWidth="1"/>
    <col min="5389" max="5632" width="9.140625" style="7"/>
    <col min="5633" max="5633" width="7.5703125" style="7" customWidth="1"/>
    <col min="5634" max="5634" width="62.42578125" style="7" customWidth="1"/>
    <col min="5635" max="5635" width="14.140625" style="7" customWidth="1"/>
    <col min="5636" max="5636" width="12.42578125" style="7" customWidth="1"/>
    <col min="5637" max="5637" width="12.140625" style="7" customWidth="1"/>
    <col min="5638" max="5638" width="12.28515625" style="7" customWidth="1"/>
    <col min="5639" max="5639" width="62.7109375" style="7" customWidth="1"/>
    <col min="5640" max="5640" width="26.42578125" style="7" customWidth="1"/>
    <col min="5641" max="5641" width="22.7109375" style="7" customWidth="1"/>
    <col min="5642" max="5642" width="15.5703125" style="7" customWidth="1"/>
    <col min="5643" max="5643" width="27.28515625" style="7" customWidth="1"/>
    <col min="5644" max="5644" width="22.28515625" style="7" customWidth="1"/>
    <col min="5645" max="5888" width="9.140625" style="7"/>
    <col min="5889" max="5889" width="7.5703125" style="7" customWidth="1"/>
    <col min="5890" max="5890" width="62.42578125" style="7" customWidth="1"/>
    <col min="5891" max="5891" width="14.140625" style="7" customWidth="1"/>
    <col min="5892" max="5892" width="12.42578125" style="7" customWidth="1"/>
    <col min="5893" max="5893" width="12.140625" style="7" customWidth="1"/>
    <col min="5894" max="5894" width="12.28515625" style="7" customWidth="1"/>
    <col min="5895" max="5895" width="62.7109375" style="7" customWidth="1"/>
    <col min="5896" max="5896" width="26.42578125" style="7" customWidth="1"/>
    <col min="5897" max="5897" width="22.7109375" style="7" customWidth="1"/>
    <col min="5898" max="5898" width="15.5703125" style="7" customWidth="1"/>
    <col min="5899" max="5899" width="27.28515625" style="7" customWidth="1"/>
    <col min="5900" max="5900" width="22.28515625" style="7" customWidth="1"/>
    <col min="5901" max="6144" width="9.140625" style="7"/>
    <col min="6145" max="6145" width="7.5703125" style="7" customWidth="1"/>
    <col min="6146" max="6146" width="62.42578125" style="7" customWidth="1"/>
    <col min="6147" max="6147" width="14.140625" style="7" customWidth="1"/>
    <col min="6148" max="6148" width="12.42578125" style="7" customWidth="1"/>
    <col min="6149" max="6149" width="12.140625" style="7" customWidth="1"/>
    <col min="6150" max="6150" width="12.28515625" style="7" customWidth="1"/>
    <col min="6151" max="6151" width="62.7109375" style="7" customWidth="1"/>
    <col min="6152" max="6152" width="26.42578125" style="7" customWidth="1"/>
    <col min="6153" max="6153" width="22.7109375" style="7" customWidth="1"/>
    <col min="6154" max="6154" width="15.5703125" style="7" customWidth="1"/>
    <col min="6155" max="6155" width="27.28515625" style="7" customWidth="1"/>
    <col min="6156" max="6156" width="22.28515625" style="7" customWidth="1"/>
    <col min="6157" max="6400" width="9.140625" style="7"/>
    <col min="6401" max="6401" width="7.5703125" style="7" customWidth="1"/>
    <col min="6402" max="6402" width="62.42578125" style="7" customWidth="1"/>
    <col min="6403" max="6403" width="14.140625" style="7" customWidth="1"/>
    <col min="6404" max="6404" width="12.42578125" style="7" customWidth="1"/>
    <col min="6405" max="6405" width="12.140625" style="7" customWidth="1"/>
    <col min="6406" max="6406" width="12.28515625" style="7" customWidth="1"/>
    <col min="6407" max="6407" width="62.7109375" style="7" customWidth="1"/>
    <col min="6408" max="6408" width="26.42578125" style="7" customWidth="1"/>
    <col min="6409" max="6409" width="22.7109375" style="7" customWidth="1"/>
    <col min="6410" max="6410" width="15.5703125" style="7" customWidth="1"/>
    <col min="6411" max="6411" width="27.28515625" style="7" customWidth="1"/>
    <col min="6412" max="6412" width="22.28515625" style="7" customWidth="1"/>
    <col min="6413" max="6656" width="9.140625" style="7"/>
    <col min="6657" max="6657" width="7.5703125" style="7" customWidth="1"/>
    <col min="6658" max="6658" width="62.42578125" style="7" customWidth="1"/>
    <col min="6659" max="6659" width="14.140625" style="7" customWidth="1"/>
    <col min="6660" max="6660" width="12.42578125" style="7" customWidth="1"/>
    <col min="6661" max="6661" width="12.140625" style="7" customWidth="1"/>
    <col min="6662" max="6662" width="12.28515625" style="7" customWidth="1"/>
    <col min="6663" max="6663" width="62.7109375" style="7" customWidth="1"/>
    <col min="6664" max="6664" width="26.42578125" style="7" customWidth="1"/>
    <col min="6665" max="6665" width="22.7109375" style="7" customWidth="1"/>
    <col min="6666" max="6666" width="15.5703125" style="7" customWidth="1"/>
    <col min="6667" max="6667" width="27.28515625" style="7" customWidth="1"/>
    <col min="6668" max="6668" width="22.28515625" style="7" customWidth="1"/>
    <col min="6669" max="6912" width="9.140625" style="7"/>
    <col min="6913" max="6913" width="7.5703125" style="7" customWidth="1"/>
    <col min="6914" max="6914" width="62.42578125" style="7" customWidth="1"/>
    <col min="6915" max="6915" width="14.140625" style="7" customWidth="1"/>
    <col min="6916" max="6916" width="12.42578125" style="7" customWidth="1"/>
    <col min="6917" max="6917" width="12.140625" style="7" customWidth="1"/>
    <col min="6918" max="6918" width="12.28515625" style="7" customWidth="1"/>
    <col min="6919" max="6919" width="62.7109375" style="7" customWidth="1"/>
    <col min="6920" max="6920" width="26.42578125" style="7" customWidth="1"/>
    <col min="6921" max="6921" width="22.7109375" style="7" customWidth="1"/>
    <col min="6922" max="6922" width="15.5703125" style="7" customWidth="1"/>
    <col min="6923" max="6923" width="27.28515625" style="7" customWidth="1"/>
    <col min="6924" max="6924" width="22.28515625" style="7" customWidth="1"/>
    <col min="6925" max="7168" width="9.140625" style="7"/>
    <col min="7169" max="7169" width="7.5703125" style="7" customWidth="1"/>
    <col min="7170" max="7170" width="62.42578125" style="7" customWidth="1"/>
    <col min="7171" max="7171" width="14.140625" style="7" customWidth="1"/>
    <col min="7172" max="7172" width="12.42578125" style="7" customWidth="1"/>
    <col min="7173" max="7173" width="12.140625" style="7" customWidth="1"/>
    <col min="7174" max="7174" width="12.28515625" style="7" customWidth="1"/>
    <col min="7175" max="7175" width="62.7109375" style="7" customWidth="1"/>
    <col min="7176" max="7176" width="26.42578125" style="7" customWidth="1"/>
    <col min="7177" max="7177" width="22.7109375" style="7" customWidth="1"/>
    <col min="7178" max="7178" width="15.5703125" style="7" customWidth="1"/>
    <col min="7179" max="7179" width="27.28515625" style="7" customWidth="1"/>
    <col min="7180" max="7180" width="22.28515625" style="7" customWidth="1"/>
    <col min="7181" max="7424" width="9.140625" style="7"/>
    <col min="7425" max="7425" width="7.5703125" style="7" customWidth="1"/>
    <col min="7426" max="7426" width="62.42578125" style="7" customWidth="1"/>
    <col min="7427" max="7427" width="14.140625" style="7" customWidth="1"/>
    <col min="7428" max="7428" width="12.42578125" style="7" customWidth="1"/>
    <col min="7429" max="7429" width="12.140625" style="7" customWidth="1"/>
    <col min="7430" max="7430" width="12.28515625" style="7" customWidth="1"/>
    <col min="7431" max="7431" width="62.7109375" style="7" customWidth="1"/>
    <col min="7432" max="7432" width="26.42578125" style="7" customWidth="1"/>
    <col min="7433" max="7433" width="22.7109375" style="7" customWidth="1"/>
    <col min="7434" max="7434" width="15.5703125" style="7" customWidth="1"/>
    <col min="7435" max="7435" width="27.28515625" style="7" customWidth="1"/>
    <col min="7436" max="7436" width="22.28515625" style="7" customWidth="1"/>
    <col min="7437" max="7680" width="9.140625" style="7"/>
    <col min="7681" max="7681" width="7.5703125" style="7" customWidth="1"/>
    <col min="7682" max="7682" width="62.42578125" style="7" customWidth="1"/>
    <col min="7683" max="7683" width="14.140625" style="7" customWidth="1"/>
    <col min="7684" max="7684" width="12.42578125" style="7" customWidth="1"/>
    <col min="7685" max="7685" width="12.140625" style="7" customWidth="1"/>
    <col min="7686" max="7686" width="12.28515625" style="7" customWidth="1"/>
    <col min="7687" max="7687" width="62.7109375" style="7" customWidth="1"/>
    <col min="7688" max="7688" width="26.42578125" style="7" customWidth="1"/>
    <col min="7689" max="7689" width="22.7109375" style="7" customWidth="1"/>
    <col min="7690" max="7690" width="15.5703125" style="7" customWidth="1"/>
    <col min="7691" max="7691" width="27.28515625" style="7" customWidth="1"/>
    <col min="7692" max="7692" width="22.28515625" style="7" customWidth="1"/>
    <col min="7693" max="7936" width="9.140625" style="7"/>
    <col min="7937" max="7937" width="7.5703125" style="7" customWidth="1"/>
    <col min="7938" max="7938" width="62.42578125" style="7" customWidth="1"/>
    <col min="7939" max="7939" width="14.140625" style="7" customWidth="1"/>
    <col min="7940" max="7940" width="12.42578125" style="7" customWidth="1"/>
    <col min="7941" max="7941" width="12.140625" style="7" customWidth="1"/>
    <col min="7942" max="7942" width="12.28515625" style="7" customWidth="1"/>
    <col min="7943" max="7943" width="62.7109375" style="7" customWidth="1"/>
    <col min="7944" max="7944" width="26.42578125" style="7" customWidth="1"/>
    <col min="7945" max="7945" width="22.7109375" style="7" customWidth="1"/>
    <col min="7946" max="7946" width="15.5703125" style="7" customWidth="1"/>
    <col min="7947" max="7947" width="27.28515625" style="7" customWidth="1"/>
    <col min="7948" max="7948" width="22.28515625" style="7" customWidth="1"/>
    <col min="7949" max="8192" width="9.140625" style="7"/>
    <col min="8193" max="8193" width="7.5703125" style="7" customWidth="1"/>
    <col min="8194" max="8194" width="62.42578125" style="7" customWidth="1"/>
    <col min="8195" max="8195" width="14.140625" style="7" customWidth="1"/>
    <col min="8196" max="8196" width="12.42578125" style="7" customWidth="1"/>
    <col min="8197" max="8197" width="12.140625" style="7" customWidth="1"/>
    <col min="8198" max="8198" width="12.28515625" style="7" customWidth="1"/>
    <col min="8199" max="8199" width="62.7109375" style="7" customWidth="1"/>
    <col min="8200" max="8200" width="26.42578125" style="7" customWidth="1"/>
    <col min="8201" max="8201" width="22.7109375" style="7" customWidth="1"/>
    <col min="8202" max="8202" width="15.5703125" style="7" customWidth="1"/>
    <col min="8203" max="8203" width="27.28515625" style="7" customWidth="1"/>
    <col min="8204" max="8204" width="22.28515625" style="7" customWidth="1"/>
    <col min="8205" max="8448" width="9.140625" style="7"/>
    <col min="8449" max="8449" width="7.5703125" style="7" customWidth="1"/>
    <col min="8450" max="8450" width="62.42578125" style="7" customWidth="1"/>
    <col min="8451" max="8451" width="14.140625" style="7" customWidth="1"/>
    <col min="8452" max="8452" width="12.42578125" style="7" customWidth="1"/>
    <col min="8453" max="8453" width="12.140625" style="7" customWidth="1"/>
    <col min="8454" max="8454" width="12.28515625" style="7" customWidth="1"/>
    <col min="8455" max="8455" width="62.7109375" style="7" customWidth="1"/>
    <col min="8456" max="8456" width="26.42578125" style="7" customWidth="1"/>
    <col min="8457" max="8457" width="22.7109375" style="7" customWidth="1"/>
    <col min="8458" max="8458" width="15.5703125" style="7" customWidth="1"/>
    <col min="8459" max="8459" width="27.28515625" style="7" customWidth="1"/>
    <col min="8460" max="8460" width="22.28515625" style="7" customWidth="1"/>
    <col min="8461" max="8704" width="9.140625" style="7"/>
    <col min="8705" max="8705" width="7.5703125" style="7" customWidth="1"/>
    <col min="8706" max="8706" width="62.42578125" style="7" customWidth="1"/>
    <col min="8707" max="8707" width="14.140625" style="7" customWidth="1"/>
    <col min="8708" max="8708" width="12.42578125" style="7" customWidth="1"/>
    <col min="8709" max="8709" width="12.140625" style="7" customWidth="1"/>
    <col min="8710" max="8710" width="12.28515625" style="7" customWidth="1"/>
    <col min="8711" max="8711" width="62.7109375" style="7" customWidth="1"/>
    <col min="8712" max="8712" width="26.42578125" style="7" customWidth="1"/>
    <col min="8713" max="8713" width="22.7109375" style="7" customWidth="1"/>
    <col min="8714" max="8714" width="15.5703125" style="7" customWidth="1"/>
    <col min="8715" max="8715" width="27.28515625" style="7" customWidth="1"/>
    <col min="8716" max="8716" width="22.28515625" style="7" customWidth="1"/>
    <col min="8717" max="8960" width="9.140625" style="7"/>
    <col min="8961" max="8961" width="7.5703125" style="7" customWidth="1"/>
    <col min="8962" max="8962" width="62.42578125" style="7" customWidth="1"/>
    <col min="8963" max="8963" width="14.140625" style="7" customWidth="1"/>
    <col min="8964" max="8964" width="12.42578125" style="7" customWidth="1"/>
    <col min="8965" max="8965" width="12.140625" style="7" customWidth="1"/>
    <col min="8966" max="8966" width="12.28515625" style="7" customWidth="1"/>
    <col min="8967" max="8967" width="62.7109375" style="7" customWidth="1"/>
    <col min="8968" max="8968" width="26.42578125" style="7" customWidth="1"/>
    <col min="8969" max="8969" width="22.7109375" style="7" customWidth="1"/>
    <col min="8970" max="8970" width="15.5703125" style="7" customWidth="1"/>
    <col min="8971" max="8971" width="27.28515625" style="7" customWidth="1"/>
    <col min="8972" max="8972" width="22.28515625" style="7" customWidth="1"/>
    <col min="8973" max="9216" width="9.140625" style="7"/>
    <col min="9217" max="9217" width="7.5703125" style="7" customWidth="1"/>
    <col min="9218" max="9218" width="62.42578125" style="7" customWidth="1"/>
    <col min="9219" max="9219" width="14.140625" style="7" customWidth="1"/>
    <col min="9220" max="9220" width="12.42578125" style="7" customWidth="1"/>
    <col min="9221" max="9221" width="12.140625" style="7" customWidth="1"/>
    <col min="9222" max="9222" width="12.28515625" style="7" customWidth="1"/>
    <col min="9223" max="9223" width="62.7109375" style="7" customWidth="1"/>
    <col min="9224" max="9224" width="26.42578125" style="7" customWidth="1"/>
    <col min="9225" max="9225" width="22.7109375" style="7" customWidth="1"/>
    <col min="9226" max="9226" width="15.5703125" style="7" customWidth="1"/>
    <col min="9227" max="9227" width="27.28515625" style="7" customWidth="1"/>
    <col min="9228" max="9228" width="22.28515625" style="7" customWidth="1"/>
    <col min="9229" max="9472" width="9.140625" style="7"/>
    <col min="9473" max="9473" width="7.5703125" style="7" customWidth="1"/>
    <col min="9474" max="9474" width="62.42578125" style="7" customWidth="1"/>
    <col min="9475" max="9475" width="14.140625" style="7" customWidth="1"/>
    <col min="9476" max="9476" width="12.42578125" style="7" customWidth="1"/>
    <col min="9477" max="9477" width="12.140625" style="7" customWidth="1"/>
    <col min="9478" max="9478" width="12.28515625" style="7" customWidth="1"/>
    <col min="9479" max="9479" width="62.7109375" style="7" customWidth="1"/>
    <col min="9480" max="9480" width="26.42578125" style="7" customWidth="1"/>
    <col min="9481" max="9481" width="22.7109375" style="7" customWidth="1"/>
    <col min="9482" max="9482" width="15.5703125" style="7" customWidth="1"/>
    <col min="9483" max="9483" width="27.28515625" style="7" customWidth="1"/>
    <col min="9484" max="9484" width="22.28515625" style="7" customWidth="1"/>
    <col min="9485" max="9728" width="9.140625" style="7"/>
    <col min="9729" max="9729" width="7.5703125" style="7" customWidth="1"/>
    <col min="9730" max="9730" width="62.42578125" style="7" customWidth="1"/>
    <col min="9731" max="9731" width="14.140625" style="7" customWidth="1"/>
    <col min="9732" max="9732" width="12.42578125" style="7" customWidth="1"/>
    <col min="9733" max="9733" width="12.140625" style="7" customWidth="1"/>
    <col min="9734" max="9734" width="12.28515625" style="7" customWidth="1"/>
    <col min="9735" max="9735" width="62.7109375" style="7" customWidth="1"/>
    <col min="9736" max="9736" width="26.42578125" style="7" customWidth="1"/>
    <col min="9737" max="9737" width="22.7109375" style="7" customWidth="1"/>
    <col min="9738" max="9738" width="15.5703125" style="7" customWidth="1"/>
    <col min="9739" max="9739" width="27.28515625" style="7" customWidth="1"/>
    <col min="9740" max="9740" width="22.28515625" style="7" customWidth="1"/>
    <col min="9741" max="9984" width="9.140625" style="7"/>
    <col min="9985" max="9985" width="7.5703125" style="7" customWidth="1"/>
    <col min="9986" max="9986" width="62.42578125" style="7" customWidth="1"/>
    <col min="9987" max="9987" width="14.140625" style="7" customWidth="1"/>
    <col min="9988" max="9988" width="12.42578125" style="7" customWidth="1"/>
    <col min="9989" max="9989" width="12.140625" style="7" customWidth="1"/>
    <col min="9990" max="9990" width="12.28515625" style="7" customWidth="1"/>
    <col min="9991" max="9991" width="62.7109375" style="7" customWidth="1"/>
    <col min="9992" max="9992" width="26.42578125" style="7" customWidth="1"/>
    <col min="9993" max="9993" width="22.7109375" style="7" customWidth="1"/>
    <col min="9994" max="9994" width="15.5703125" style="7" customWidth="1"/>
    <col min="9995" max="9995" width="27.28515625" style="7" customWidth="1"/>
    <col min="9996" max="9996" width="22.28515625" style="7" customWidth="1"/>
    <col min="9997" max="10240" width="9.140625" style="7"/>
    <col min="10241" max="10241" width="7.5703125" style="7" customWidth="1"/>
    <col min="10242" max="10242" width="62.42578125" style="7" customWidth="1"/>
    <col min="10243" max="10243" width="14.140625" style="7" customWidth="1"/>
    <col min="10244" max="10244" width="12.42578125" style="7" customWidth="1"/>
    <col min="10245" max="10245" width="12.140625" style="7" customWidth="1"/>
    <col min="10246" max="10246" width="12.28515625" style="7" customWidth="1"/>
    <col min="10247" max="10247" width="62.7109375" style="7" customWidth="1"/>
    <col min="10248" max="10248" width="26.42578125" style="7" customWidth="1"/>
    <col min="10249" max="10249" width="22.7109375" style="7" customWidth="1"/>
    <col min="10250" max="10250" width="15.5703125" style="7" customWidth="1"/>
    <col min="10251" max="10251" width="27.28515625" style="7" customWidth="1"/>
    <col min="10252" max="10252" width="22.28515625" style="7" customWidth="1"/>
    <col min="10253" max="10496" width="9.140625" style="7"/>
    <col min="10497" max="10497" width="7.5703125" style="7" customWidth="1"/>
    <col min="10498" max="10498" width="62.42578125" style="7" customWidth="1"/>
    <col min="10499" max="10499" width="14.140625" style="7" customWidth="1"/>
    <col min="10500" max="10500" width="12.42578125" style="7" customWidth="1"/>
    <col min="10501" max="10501" width="12.140625" style="7" customWidth="1"/>
    <col min="10502" max="10502" width="12.28515625" style="7" customWidth="1"/>
    <col min="10503" max="10503" width="62.7109375" style="7" customWidth="1"/>
    <col min="10504" max="10504" width="26.42578125" style="7" customWidth="1"/>
    <col min="10505" max="10505" width="22.7109375" style="7" customWidth="1"/>
    <col min="10506" max="10506" width="15.5703125" style="7" customWidth="1"/>
    <col min="10507" max="10507" width="27.28515625" style="7" customWidth="1"/>
    <col min="10508" max="10508" width="22.28515625" style="7" customWidth="1"/>
    <col min="10509" max="10752" width="9.140625" style="7"/>
    <col min="10753" max="10753" width="7.5703125" style="7" customWidth="1"/>
    <col min="10754" max="10754" width="62.42578125" style="7" customWidth="1"/>
    <col min="10755" max="10755" width="14.140625" style="7" customWidth="1"/>
    <col min="10756" max="10756" width="12.42578125" style="7" customWidth="1"/>
    <col min="10757" max="10757" width="12.140625" style="7" customWidth="1"/>
    <col min="10758" max="10758" width="12.28515625" style="7" customWidth="1"/>
    <col min="10759" max="10759" width="62.7109375" style="7" customWidth="1"/>
    <col min="10760" max="10760" width="26.42578125" style="7" customWidth="1"/>
    <col min="10761" max="10761" width="22.7109375" style="7" customWidth="1"/>
    <col min="10762" max="10762" width="15.5703125" style="7" customWidth="1"/>
    <col min="10763" max="10763" width="27.28515625" style="7" customWidth="1"/>
    <col min="10764" max="10764" width="22.28515625" style="7" customWidth="1"/>
    <col min="10765" max="11008" width="9.140625" style="7"/>
    <col min="11009" max="11009" width="7.5703125" style="7" customWidth="1"/>
    <col min="11010" max="11010" width="62.42578125" style="7" customWidth="1"/>
    <col min="11011" max="11011" width="14.140625" style="7" customWidth="1"/>
    <col min="11012" max="11012" width="12.42578125" style="7" customWidth="1"/>
    <col min="11013" max="11013" width="12.140625" style="7" customWidth="1"/>
    <col min="11014" max="11014" width="12.28515625" style="7" customWidth="1"/>
    <col min="11015" max="11015" width="62.7109375" style="7" customWidth="1"/>
    <col min="11016" max="11016" width="26.42578125" style="7" customWidth="1"/>
    <col min="11017" max="11017" width="22.7109375" style="7" customWidth="1"/>
    <col min="11018" max="11018" width="15.5703125" style="7" customWidth="1"/>
    <col min="11019" max="11019" width="27.28515625" style="7" customWidth="1"/>
    <col min="11020" max="11020" width="22.28515625" style="7" customWidth="1"/>
    <col min="11021" max="11264" width="9.140625" style="7"/>
    <col min="11265" max="11265" width="7.5703125" style="7" customWidth="1"/>
    <col min="11266" max="11266" width="62.42578125" style="7" customWidth="1"/>
    <col min="11267" max="11267" width="14.140625" style="7" customWidth="1"/>
    <col min="11268" max="11268" width="12.42578125" style="7" customWidth="1"/>
    <col min="11269" max="11269" width="12.140625" style="7" customWidth="1"/>
    <col min="11270" max="11270" width="12.28515625" style="7" customWidth="1"/>
    <col min="11271" max="11271" width="62.7109375" style="7" customWidth="1"/>
    <col min="11272" max="11272" width="26.42578125" style="7" customWidth="1"/>
    <col min="11273" max="11273" width="22.7109375" style="7" customWidth="1"/>
    <col min="11274" max="11274" width="15.5703125" style="7" customWidth="1"/>
    <col min="11275" max="11275" width="27.28515625" style="7" customWidth="1"/>
    <col min="11276" max="11276" width="22.28515625" style="7" customWidth="1"/>
    <col min="11277" max="11520" width="9.140625" style="7"/>
    <col min="11521" max="11521" width="7.5703125" style="7" customWidth="1"/>
    <col min="11522" max="11522" width="62.42578125" style="7" customWidth="1"/>
    <col min="11523" max="11523" width="14.140625" style="7" customWidth="1"/>
    <col min="11524" max="11524" width="12.42578125" style="7" customWidth="1"/>
    <col min="11525" max="11525" width="12.140625" style="7" customWidth="1"/>
    <col min="11526" max="11526" width="12.28515625" style="7" customWidth="1"/>
    <col min="11527" max="11527" width="62.7109375" style="7" customWidth="1"/>
    <col min="11528" max="11528" width="26.42578125" style="7" customWidth="1"/>
    <col min="11529" max="11529" width="22.7109375" style="7" customWidth="1"/>
    <col min="11530" max="11530" width="15.5703125" style="7" customWidth="1"/>
    <col min="11531" max="11531" width="27.28515625" style="7" customWidth="1"/>
    <col min="11532" max="11532" width="22.28515625" style="7" customWidth="1"/>
    <col min="11533" max="11776" width="9.140625" style="7"/>
    <col min="11777" max="11777" width="7.5703125" style="7" customWidth="1"/>
    <col min="11778" max="11778" width="62.42578125" style="7" customWidth="1"/>
    <col min="11779" max="11779" width="14.140625" style="7" customWidth="1"/>
    <col min="11780" max="11780" width="12.42578125" style="7" customWidth="1"/>
    <col min="11781" max="11781" width="12.140625" style="7" customWidth="1"/>
    <col min="11782" max="11782" width="12.28515625" style="7" customWidth="1"/>
    <col min="11783" max="11783" width="62.7109375" style="7" customWidth="1"/>
    <col min="11784" max="11784" width="26.42578125" style="7" customWidth="1"/>
    <col min="11785" max="11785" width="22.7109375" style="7" customWidth="1"/>
    <col min="11786" max="11786" width="15.5703125" style="7" customWidth="1"/>
    <col min="11787" max="11787" width="27.28515625" style="7" customWidth="1"/>
    <col min="11788" max="11788" width="22.28515625" style="7" customWidth="1"/>
    <col min="11789" max="12032" width="9.140625" style="7"/>
    <col min="12033" max="12033" width="7.5703125" style="7" customWidth="1"/>
    <col min="12034" max="12034" width="62.42578125" style="7" customWidth="1"/>
    <col min="12035" max="12035" width="14.140625" style="7" customWidth="1"/>
    <col min="12036" max="12036" width="12.42578125" style="7" customWidth="1"/>
    <col min="12037" max="12037" width="12.140625" style="7" customWidth="1"/>
    <col min="12038" max="12038" width="12.28515625" style="7" customWidth="1"/>
    <col min="12039" max="12039" width="62.7109375" style="7" customWidth="1"/>
    <col min="12040" max="12040" width="26.42578125" style="7" customWidth="1"/>
    <col min="12041" max="12041" width="22.7109375" style="7" customWidth="1"/>
    <col min="12042" max="12042" width="15.5703125" style="7" customWidth="1"/>
    <col min="12043" max="12043" width="27.28515625" style="7" customWidth="1"/>
    <col min="12044" max="12044" width="22.28515625" style="7" customWidth="1"/>
    <col min="12045" max="12288" width="9.140625" style="7"/>
    <col min="12289" max="12289" width="7.5703125" style="7" customWidth="1"/>
    <col min="12290" max="12290" width="62.42578125" style="7" customWidth="1"/>
    <col min="12291" max="12291" width="14.140625" style="7" customWidth="1"/>
    <col min="12292" max="12292" width="12.42578125" style="7" customWidth="1"/>
    <col min="12293" max="12293" width="12.140625" style="7" customWidth="1"/>
    <col min="12294" max="12294" width="12.28515625" style="7" customWidth="1"/>
    <col min="12295" max="12295" width="62.7109375" style="7" customWidth="1"/>
    <col min="12296" max="12296" width="26.42578125" style="7" customWidth="1"/>
    <col min="12297" max="12297" width="22.7109375" style="7" customWidth="1"/>
    <col min="12298" max="12298" width="15.5703125" style="7" customWidth="1"/>
    <col min="12299" max="12299" width="27.28515625" style="7" customWidth="1"/>
    <col min="12300" max="12300" width="22.28515625" style="7" customWidth="1"/>
    <col min="12301" max="12544" width="9.140625" style="7"/>
    <col min="12545" max="12545" width="7.5703125" style="7" customWidth="1"/>
    <col min="12546" max="12546" width="62.42578125" style="7" customWidth="1"/>
    <col min="12547" max="12547" width="14.140625" style="7" customWidth="1"/>
    <col min="12548" max="12548" width="12.42578125" style="7" customWidth="1"/>
    <col min="12549" max="12549" width="12.140625" style="7" customWidth="1"/>
    <col min="12550" max="12550" width="12.28515625" style="7" customWidth="1"/>
    <col min="12551" max="12551" width="62.7109375" style="7" customWidth="1"/>
    <col min="12552" max="12552" width="26.42578125" style="7" customWidth="1"/>
    <col min="12553" max="12553" width="22.7109375" style="7" customWidth="1"/>
    <col min="12554" max="12554" width="15.5703125" style="7" customWidth="1"/>
    <col min="12555" max="12555" width="27.28515625" style="7" customWidth="1"/>
    <col min="12556" max="12556" width="22.28515625" style="7" customWidth="1"/>
    <col min="12557" max="12800" width="9.140625" style="7"/>
    <col min="12801" max="12801" width="7.5703125" style="7" customWidth="1"/>
    <col min="12802" max="12802" width="62.42578125" style="7" customWidth="1"/>
    <col min="12803" max="12803" width="14.140625" style="7" customWidth="1"/>
    <col min="12804" max="12804" width="12.42578125" style="7" customWidth="1"/>
    <col min="12805" max="12805" width="12.140625" style="7" customWidth="1"/>
    <col min="12806" max="12806" width="12.28515625" style="7" customWidth="1"/>
    <col min="12807" max="12807" width="62.7109375" style="7" customWidth="1"/>
    <col min="12808" max="12808" width="26.42578125" style="7" customWidth="1"/>
    <col min="12809" max="12809" width="22.7109375" style="7" customWidth="1"/>
    <col min="12810" max="12810" width="15.5703125" style="7" customWidth="1"/>
    <col min="12811" max="12811" width="27.28515625" style="7" customWidth="1"/>
    <col min="12812" max="12812" width="22.28515625" style="7" customWidth="1"/>
    <col min="12813" max="13056" width="9.140625" style="7"/>
    <col min="13057" max="13057" width="7.5703125" style="7" customWidth="1"/>
    <col min="13058" max="13058" width="62.42578125" style="7" customWidth="1"/>
    <col min="13059" max="13059" width="14.140625" style="7" customWidth="1"/>
    <col min="13060" max="13060" width="12.42578125" style="7" customWidth="1"/>
    <col min="13061" max="13061" width="12.140625" style="7" customWidth="1"/>
    <col min="13062" max="13062" width="12.28515625" style="7" customWidth="1"/>
    <col min="13063" max="13063" width="62.7109375" style="7" customWidth="1"/>
    <col min="13064" max="13064" width="26.42578125" style="7" customWidth="1"/>
    <col min="13065" max="13065" width="22.7109375" style="7" customWidth="1"/>
    <col min="13066" max="13066" width="15.5703125" style="7" customWidth="1"/>
    <col min="13067" max="13067" width="27.28515625" style="7" customWidth="1"/>
    <col min="13068" max="13068" width="22.28515625" style="7" customWidth="1"/>
    <col min="13069" max="13312" width="9.140625" style="7"/>
    <col min="13313" max="13313" width="7.5703125" style="7" customWidth="1"/>
    <col min="13314" max="13314" width="62.42578125" style="7" customWidth="1"/>
    <col min="13315" max="13315" width="14.140625" style="7" customWidth="1"/>
    <col min="13316" max="13316" width="12.42578125" style="7" customWidth="1"/>
    <col min="13317" max="13317" width="12.140625" style="7" customWidth="1"/>
    <col min="13318" max="13318" width="12.28515625" style="7" customWidth="1"/>
    <col min="13319" max="13319" width="62.7109375" style="7" customWidth="1"/>
    <col min="13320" max="13320" width="26.42578125" style="7" customWidth="1"/>
    <col min="13321" max="13321" width="22.7109375" style="7" customWidth="1"/>
    <col min="13322" max="13322" width="15.5703125" style="7" customWidth="1"/>
    <col min="13323" max="13323" width="27.28515625" style="7" customWidth="1"/>
    <col min="13324" max="13324" width="22.28515625" style="7" customWidth="1"/>
    <col min="13325" max="13568" width="9.140625" style="7"/>
    <col min="13569" max="13569" width="7.5703125" style="7" customWidth="1"/>
    <col min="13570" max="13570" width="62.42578125" style="7" customWidth="1"/>
    <col min="13571" max="13571" width="14.140625" style="7" customWidth="1"/>
    <col min="13572" max="13572" width="12.42578125" style="7" customWidth="1"/>
    <col min="13573" max="13573" width="12.140625" style="7" customWidth="1"/>
    <col min="13574" max="13574" width="12.28515625" style="7" customWidth="1"/>
    <col min="13575" max="13575" width="62.7109375" style="7" customWidth="1"/>
    <col min="13576" max="13576" width="26.42578125" style="7" customWidth="1"/>
    <col min="13577" max="13577" width="22.7109375" style="7" customWidth="1"/>
    <col min="13578" max="13578" width="15.5703125" style="7" customWidth="1"/>
    <col min="13579" max="13579" width="27.28515625" style="7" customWidth="1"/>
    <col min="13580" max="13580" width="22.28515625" style="7" customWidth="1"/>
    <col min="13581" max="13824" width="9.140625" style="7"/>
    <col min="13825" max="13825" width="7.5703125" style="7" customWidth="1"/>
    <col min="13826" max="13826" width="62.42578125" style="7" customWidth="1"/>
    <col min="13827" max="13827" width="14.140625" style="7" customWidth="1"/>
    <col min="13828" max="13828" width="12.42578125" style="7" customWidth="1"/>
    <col min="13829" max="13829" width="12.140625" style="7" customWidth="1"/>
    <col min="13830" max="13830" width="12.28515625" style="7" customWidth="1"/>
    <col min="13831" max="13831" width="62.7109375" style="7" customWidth="1"/>
    <col min="13832" max="13832" width="26.42578125" style="7" customWidth="1"/>
    <col min="13833" max="13833" width="22.7109375" style="7" customWidth="1"/>
    <col min="13834" max="13834" width="15.5703125" style="7" customWidth="1"/>
    <col min="13835" max="13835" width="27.28515625" style="7" customWidth="1"/>
    <col min="13836" max="13836" width="22.28515625" style="7" customWidth="1"/>
    <col min="13837" max="14080" width="9.140625" style="7"/>
    <col min="14081" max="14081" width="7.5703125" style="7" customWidth="1"/>
    <col min="14082" max="14082" width="62.42578125" style="7" customWidth="1"/>
    <col min="14083" max="14083" width="14.140625" style="7" customWidth="1"/>
    <col min="14084" max="14084" width="12.42578125" style="7" customWidth="1"/>
    <col min="14085" max="14085" width="12.140625" style="7" customWidth="1"/>
    <col min="14086" max="14086" width="12.28515625" style="7" customWidth="1"/>
    <col min="14087" max="14087" width="62.7109375" style="7" customWidth="1"/>
    <col min="14088" max="14088" width="26.42578125" style="7" customWidth="1"/>
    <col min="14089" max="14089" width="22.7109375" style="7" customWidth="1"/>
    <col min="14090" max="14090" width="15.5703125" style="7" customWidth="1"/>
    <col min="14091" max="14091" width="27.28515625" style="7" customWidth="1"/>
    <col min="14092" max="14092" width="22.28515625" style="7" customWidth="1"/>
    <col min="14093" max="14336" width="9.140625" style="7"/>
    <col min="14337" max="14337" width="7.5703125" style="7" customWidth="1"/>
    <col min="14338" max="14338" width="62.42578125" style="7" customWidth="1"/>
    <col min="14339" max="14339" width="14.140625" style="7" customWidth="1"/>
    <col min="14340" max="14340" width="12.42578125" style="7" customWidth="1"/>
    <col min="14341" max="14341" width="12.140625" style="7" customWidth="1"/>
    <col min="14342" max="14342" width="12.28515625" style="7" customWidth="1"/>
    <col min="14343" max="14343" width="62.7109375" style="7" customWidth="1"/>
    <col min="14344" max="14344" width="26.42578125" style="7" customWidth="1"/>
    <col min="14345" max="14345" width="22.7109375" style="7" customWidth="1"/>
    <col min="14346" max="14346" width="15.5703125" style="7" customWidth="1"/>
    <col min="14347" max="14347" width="27.28515625" style="7" customWidth="1"/>
    <col min="14348" max="14348" width="22.28515625" style="7" customWidth="1"/>
    <col min="14349" max="14592" width="9.140625" style="7"/>
    <col min="14593" max="14593" width="7.5703125" style="7" customWidth="1"/>
    <col min="14594" max="14594" width="62.42578125" style="7" customWidth="1"/>
    <col min="14595" max="14595" width="14.140625" style="7" customWidth="1"/>
    <col min="14596" max="14596" width="12.42578125" style="7" customWidth="1"/>
    <col min="14597" max="14597" width="12.140625" style="7" customWidth="1"/>
    <col min="14598" max="14598" width="12.28515625" style="7" customWidth="1"/>
    <col min="14599" max="14599" width="62.7109375" style="7" customWidth="1"/>
    <col min="14600" max="14600" width="26.42578125" style="7" customWidth="1"/>
    <col min="14601" max="14601" width="22.7109375" style="7" customWidth="1"/>
    <col min="14602" max="14602" width="15.5703125" style="7" customWidth="1"/>
    <col min="14603" max="14603" width="27.28515625" style="7" customWidth="1"/>
    <col min="14604" max="14604" width="22.28515625" style="7" customWidth="1"/>
    <col min="14605" max="14848" width="9.140625" style="7"/>
    <col min="14849" max="14849" width="7.5703125" style="7" customWidth="1"/>
    <col min="14850" max="14850" width="62.42578125" style="7" customWidth="1"/>
    <col min="14851" max="14851" width="14.140625" style="7" customWidth="1"/>
    <col min="14852" max="14852" width="12.42578125" style="7" customWidth="1"/>
    <col min="14853" max="14853" width="12.140625" style="7" customWidth="1"/>
    <col min="14854" max="14854" width="12.28515625" style="7" customWidth="1"/>
    <col min="14855" max="14855" width="62.7109375" style="7" customWidth="1"/>
    <col min="14856" max="14856" width="26.42578125" style="7" customWidth="1"/>
    <col min="14857" max="14857" width="22.7109375" style="7" customWidth="1"/>
    <col min="14858" max="14858" width="15.5703125" style="7" customWidth="1"/>
    <col min="14859" max="14859" width="27.28515625" style="7" customWidth="1"/>
    <col min="14860" max="14860" width="22.28515625" style="7" customWidth="1"/>
    <col min="14861" max="15104" width="9.140625" style="7"/>
    <col min="15105" max="15105" width="7.5703125" style="7" customWidth="1"/>
    <col min="15106" max="15106" width="62.42578125" style="7" customWidth="1"/>
    <col min="15107" max="15107" width="14.140625" style="7" customWidth="1"/>
    <col min="15108" max="15108" width="12.42578125" style="7" customWidth="1"/>
    <col min="15109" max="15109" width="12.140625" style="7" customWidth="1"/>
    <col min="15110" max="15110" width="12.28515625" style="7" customWidth="1"/>
    <col min="15111" max="15111" width="62.7109375" style="7" customWidth="1"/>
    <col min="15112" max="15112" width="26.42578125" style="7" customWidth="1"/>
    <col min="15113" max="15113" width="22.7109375" style="7" customWidth="1"/>
    <col min="15114" max="15114" width="15.5703125" style="7" customWidth="1"/>
    <col min="15115" max="15115" width="27.28515625" style="7" customWidth="1"/>
    <col min="15116" max="15116" width="22.28515625" style="7" customWidth="1"/>
    <col min="15117" max="15360" width="9.140625" style="7"/>
    <col min="15361" max="15361" width="7.5703125" style="7" customWidth="1"/>
    <col min="15362" max="15362" width="62.42578125" style="7" customWidth="1"/>
    <col min="15363" max="15363" width="14.140625" style="7" customWidth="1"/>
    <col min="15364" max="15364" width="12.42578125" style="7" customWidth="1"/>
    <col min="15365" max="15365" width="12.140625" style="7" customWidth="1"/>
    <col min="15366" max="15366" width="12.28515625" style="7" customWidth="1"/>
    <col min="15367" max="15367" width="62.7109375" style="7" customWidth="1"/>
    <col min="15368" max="15368" width="26.42578125" style="7" customWidth="1"/>
    <col min="15369" max="15369" width="22.7109375" style="7" customWidth="1"/>
    <col min="15370" max="15370" width="15.5703125" style="7" customWidth="1"/>
    <col min="15371" max="15371" width="27.28515625" style="7" customWidth="1"/>
    <col min="15372" max="15372" width="22.28515625" style="7" customWidth="1"/>
    <col min="15373" max="15616" width="9.140625" style="7"/>
    <col min="15617" max="15617" width="7.5703125" style="7" customWidth="1"/>
    <col min="15618" max="15618" width="62.42578125" style="7" customWidth="1"/>
    <col min="15619" max="15619" width="14.140625" style="7" customWidth="1"/>
    <col min="15620" max="15620" width="12.42578125" style="7" customWidth="1"/>
    <col min="15621" max="15621" width="12.140625" style="7" customWidth="1"/>
    <col min="15622" max="15622" width="12.28515625" style="7" customWidth="1"/>
    <col min="15623" max="15623" width="62.7109375" style="7" customWidth="1"/>
    <col min="15624" max="15624" width="26.42578125" style="7" customWidth="1"/>
    <col min="15625" max="15625" width="22.7109375" style="7" customWidth="1"/>
    <col min="15626" max="15626" width="15.5703125" style="7" customWidth="1"/>
    <col min="15627" max="15627" width="27.28515625" style="7" customWidth="1"/>
    <col min="15628" max="15628" width="22.28515625" style="7" customWidth="1"/>
    <col min="15629" max="15872" width="9.140625" style="7"/>
    <col min="15873" max="15873" width="7.5703125" style="7" customWidth="1"/>
    <col min="15874" max="15874" width="62.42578125" style="7" customWidth="1"/>
    <col min="15875" max="15875" width="14.140625" style="7" customWidth="1"/>
    <col min="15876" max="15876" width="12.42578125" style="7" customWidth="1"/>
    <col min="15877" max="15877" width="12.140625" style="7" customWidth="1"/>
    <col min="15878" max="15878" width="12.28515625" style="7" customWidth="1"/>
    <col min="15879" max="15879" width="62.7109375" style="7" customWidth="1"/>
    <col min="15880" max="15880" width="26.42578125" style="7" customWidth="1"/>
    <col min="15881" max="15881" width="22.7109375" style="7" customWidth="1"/>
    <col min="15882" max="15882" width="15.5703125" style="7" customWidth="1"/>
    <col min="15883" max="15883" width="27.28515625" style="7" customWidth="1"/>
    <col min="15884" max="15884" width="22.28515625" style="7" customWidth="1"/>
    <col min="15885" max="16128" width="9.140625" style="7"/>
    <col min="16129" max="16129" width="7.5703125" style="7" customWidth="1"/>
    <col min="16130" max="16130" width="62.42578125" style="7" customWidth="1"/>
    <col min="16131" max="16131" width="14.140625" style="7" customWidth="1"/>
    <col min="16132" max="16132" width="12.42578125" style="7" customWidth="1"/>
    <col min="16133" max="16133" width="12.140625" style="7" customWidth="1"/>
    <col min="16134" max="16134" width="12.28515625" style="7" customWidth="1"/>
    <col min="16135" max="16135" width="62.7109375" style="7" customWidth="1"/>
    <col min="16136" max="16136" width="26.42578125" style="7" customWidth="1"/>
    <col min="16137" max="16137" width="22.7109375" style="7" customWidth="1"/>
    <col min="16138" max="16138" width="15.5703125" style="7" customWidth="1"/>
    <col min="16139" max="16139" width="27.28515625" style="7" customWidth="1"/>
    <col min="16140" max="16140" width="22.28515625" style="7" customWidth="1"/>
    <col min="16141" max="16384" width="9.140625" style="7"/>
  </cols>
  <sheetData>
    <row r="1" spans="1:12" ht="15.75" x14ac:dyDescent="0.25">
      <c r="G1" s="308" t="s">
        <v>25</v>
      </c>
      <c r="H1" s="308"/>
      <c r="I1" s="308"/>
      <c r="J1" s="214"/>
    </row>
    <row r="3" spans="1:12" ht="51.75" customHeight="1" x14ac:dyDescent="0.25">
      <c r="A3" s="271" t="s">
        <v>160</v>
      </c>
      <c r="B3" s="271"/>
      <c r="C3" s="271"/>
      <c r="D3" s="271"/>
      <c r="E3" s="271"/>
      <c r="F3" s="271"/>
      <c r="G3" s="271"/>
      <c r="H3" s="271"/>
      <c r="I3" s="271"/>
      <c r="J3" s="7"/>
    </row>
    <row r="4" spans="1:12" x14ac:dyDescent="0.25">
      <c r="A4" s="269" t="s">
        <v>87</v>
      </c>
      <c r="B4" s="269"/>
      <c r="C4" s="269"/>
      <c r="D4" s="269"/>
      <c r="E4" s="269"/>
      <c r="F4" s="269"/>
      <c r="G4" s="269"/>
      <c r="H4" s="212"/>
      <c r="I4" s="212"/>
      <c r="J4" s="7"/>
    </row>
    <row r="5" spans="1:12" hidden="1" x14ac:dyDescent="0.25"/>
    <row r="7" spans="1:12" ht="15.75" customHeight="1" x14ac:dyDescent="0.25">
      <c r="A7" s="309" t="s">
        <v>0</v>
      </c>
      <c r="B7" s="309" t="s">
        <v>1</v>
      </c>
      <c r="C7" s="309" t="s">
        <v>2</v>
      </c>
      <c r="D7" s="267" t="s">
        <v>53</v>
      </c>
      <c r="E7" s="309" t="s">
        <v>3</v>
      </c>
      <c r="F7" s="309"/>
      <c r="G7" s="310" t="s">
        <v>157</v>
      </c>
      <c r="H7" s="310"/>
      <c r="I7" s="310"/>
      <c r="J7" s="278" t="s">
        <v>52</v>
      </c>
      <c r="K7" s="244"/>
    </row>
    <row r="8" spans="1:12" ht="47.25" x14ac:dyDescent="0.25">
      <c r="A8" s="309"/>
      <c r="B8" s="309"/>
      <c r="C8" s="309"/>
      <c r="D8" s="267"/>
      <c r="E8" s="215" t="s">
        <v>4</v>
      </c>
      <c r="F8" s="215" t="s">
        <v>5</v>
      </c>
      <c r="G8" s="216" t="s">
        <v>162</v>
      </c>
      <c r="H8" s="216" t="s">
        <v>158</v>
      </c>
      <c r="I8" s="216" t="s">
        <v>163</v>
      </c>
      <c r="J8" s="278"/>
      <c r="K8" s="234"/>
    </row>
    <row r="9" spans="1:12" ht="16.5" thickBot="1" x14ac:dyDescent="0.3">
      <c r="A9" s="182"/>
      <c r="B9" s="213" t="s">
        <v>13</v>
      </c>
      <c r="C9" s="182"/>
      <c r="D9" s="182"/>
      <c r="E9" s="182"/>
      <c r="F9" s="182"/>
      <c r="G9" s="183"/>
      <c r="H9" s="183"/>
      <c r="I9" s="183"/>
      <c r="J9" s="238"/>
      <c r="K9" s="244"/>
      <c r="L9" s="172"/>
    </row>
    <row r="10" spans="1:12" ht="21" customHeight="1" x14ac:dyDescent="0.25">
      <c r="A10" s="301">
        <v>1</v>
      </c>
      <c r="B10" s="295" t="s">
        <v>145</v>
      </c>
      <c r="C10" s="302">
        <v>32.112000000000002</v>
      </c>
      <c r="D10" s="302" t="s">
        <v>55</v>
      </c>
      <c r="E10" s="303" t="s">
        <v>7</v>
      </c>
      <c r="F10" s="305" t="s">
        <v>61</v>
      </c>
      <c r="G10" s="174">
        <v>652375962.98000002</v>
      </c>
      <c r="H10" s="174">
        <f>G10*48.6728504274609 %</f>
        <v>317529976.69</v>
      </c>
      <c r="I10" s="174">
        <f>G10-H10</f>
        <v>334845986.29000002</v>
      </c>
      <c r="J10" s="306" t="s">
        <v>123</v>
      </c>
      <c r="K10" s="282">
        <v>660703872.5</v>
      </c>
      <c r="L10" s="142"/>
    </row>
    <row r="11" spans="1:12" ht="17.25" customHeight="1" x14ac:dyDescent="0.25">
      <c r="A11" s="294"/>
      <c r="B11" s="296"/>
      <c r="C11" s="300"/>
      <c r="D11" s="300"/>
      <c r="E11" s="304"/>
      <c r="F11" s="290"/>
      <c r="G11" s="218">
        <f>G12-G10</f>
        <v>13131785.73</v>
      </c>
      <c r="H11" s="218"/>
      <c r="I11" s="218">
        <f>G11</f>
        <v>13131785.73</v>
      </c>
      <c r="J11" s="292"/>
      <c r="K11" s="283"/>
      <c r="L11" s="142"/>
    </row>
    <row r="12" spans="1:12" ht="16.5" thickBot="1" x14ac:dyDescent="0.3">
      <c r="A12" s="187"/>
      <c r="B12" s="188" t="s">
        <v>9</v>
      </c>
      <c r="C12" s="189">
        <f>SUM(C10:C10)</f>
        <v>32.112000000000002</v>
      </c>
      <c r="D12" s="189"/>
      <c r="E12" s="188"/>
      <c r="F12" s="188"/>
      <c r="G12" s="205">
        <f>665507748.71</f>
        <v>665507748.71000004</v>
      </c>
      <c r="H12" s="190">
        <f>H10</f>
        <v>317529976.69</v>
      </c>
      <c r="I12" s="190">
        <f>SUM(I10:I11)</f>
        <v>347977772.01999998</v>
      </c>
      <c r="J12" s="239"/>
      <c r="K12" s="244"/>
      <c r="L12" s="172"/>
    </row>
    <row r="13" spans="1:12" ht="15.75" x14ac:dyDescent="0.25">
      <c r="A13" s="184"/>
      <c r="B13" s="191" t="s">
        <v>26</v>
      </c>
      <c r="C13" s="192"/>
      <c r="D13" s="192"/>
      <c r="E13" s="186"/>
      <c r="F13" s="186"/>
      <c r="G13" s="206"/>
      <c r="H13" s="219"/>
      <c r="I13" s="219"/>
      <c r="J13" s="240"/>
      <c r="K13" s="244"/>
      <c r="L13" s="172"/>
    </row>
    <row r="14" spans="1:12" ht="17.25" customHeight="1" x14ac:dyDescent="0.25">
      <c r="A14" s="293">
        <v>2</v>
      </c>
      <c r="B14" s="295" t="s">
        <v>146</v>
      </c>
      <c r="C14" s="299">
        <v>8.5</v>
      </c>
      <c r="D14" s="299" t="s">
        <v>54</v>
      </c>
      <c r="E14" s="307" t="s">
        <v>7</v>
      </c>
      <c r="F14" s="289" t="s">
        <v>79</v>
      </c>
      <c r="G14" s="149">
        <v>156341211.03</v>
      </c>
      <c r="H14" s="220">
        <f>G14*48.6728504274609 %</f>
        <v>76095723.799999997</v>
      </c>
      <c r="I14" s="220">
        <f>G14-H14</f>
        <v>80245487.230000004</v>
      </c>
      <c r="J14" s="291" t="s">
        <v>153</v>
      </c>
      <c r="K14" s="284">
        <v>165844474.31999999</v>
      </c>
      <c r="L14" s="172"/>
    </row>
    <row r="15" spans="1:12" ht="15.75" customHeight="1" x14ac:dyDescent="0.25">
      <c r="A15" s="294"/>
      <c r="B15" s="296"/>
      <c r="C15" s="300"/>
      <c r="D15" s="300"/>
      <c r="E15" s="304"/>
      <c r="F15" s="290"/>
      <c r="G15" s="221">
        <f>G16-G14</f>
        <v>12460502.98</v>
      </c>
      <c r="H15" s="222"/>
      <c r="I15" s="222">
        <f>G15</f>
        <v>12460502.98</v>
      </c>
      <c r="J15" s="292"/>
      <c r="K15" s="285"/>
      <c r="L15" s="172"/>
    </row>
    <row r="16" spans="1:12" ht="16.5" thickBot="1" x14ac:dyDescent="0.3">
      <c r="A16" s="187"/>
      <c r="B16" s="188" t="s">
        <v>9</v>
      </c>
      <c r="C16" s="189">
        <f>SUM(C13:C14)</f>
        <v>8.5</v>
      </c>
      <c r="D16" s="189"/>
      <c r="E16" s="188"/>
      <c r="F16" s="188"/>
      <c r="G16" s="205">
        <f>168801714.01</f>
        <v>168801714.00999999</v>
      </c>
      <c r="H16" s="190">
        <f>H14</f>
        <v>76095723.799999997</v>
      </c>
      <c r="I16" s="190">
        <f>SUM(I14:I15)</f>
        <v>92705990.209999993</v>
      </c>
      <c r="J16" s="239"/>
      <c r="K16" s="244"/>
      <c r="L16" s="172"/>
    </row>
    <row r="17" spans="1:12" ht="15.75" x14ac:dyDescent="0.25">
      <c r="A17" s="184"/>
      <c r="B17" s="193" t="s">
        <v>72</v>
      </c>
      <c r="C17" s="194"/>
      <c r="D17" s="194"/>
      <c r="E17" s="185"/>
      <c r="F17" s="185"/>
      <c r="G17" s="207"/>
      <c r="H17" s="223"/>
      <c r="I17" s="223"/>
      <c r="J17" s="241"/>
      <c r="K17" s="244"/>
      <c r="L17" s="172"/>
    </row>
    <row r="18" spans="1:12" ht="65.25" customHeight="1" x14ac:dyDescent="0.25">
      <c r="A18" s="254">
        <v>3</v>
      </c>
      <c r="B18" s="255" t="s">
        <v>197</v>
      </c>
      <c r="C18" s="260">
        <v>7.6</v>
      </c>
      <c r="D18" s="258" t="s">
        <v>54</v>
      </c>
      <c r="E18" s="256" t="s">
        <v>7</v>
      </c>
      <c r="F18" s="259" t="s">
        <v>76</v>
      </c>
      <c r="G18" s="149">
        <v>119938796.12</v>
      </c>
      <c r="H18" s="220">
        <f>G18*48.6728504274609 %</f>
        <v>58377630.840000004</v>
      </c>
      <c r="I18" s="220">
        <f>G18-H18</f>
        <v>61561165.280000001</v>
      </c>
      <c r="J18" s="257" t="s">
        <v>106</v>
      </c>
      <c r="K18" s="261">
        <v>119938796.12</v>
      </c>
      <c r="L18" s="172"/>
    </row>
    <row r="19" spans="1:12" ht="16.5" thickBot="1" x14ac:dyDescent="0.3">
      <c r="A19" s="187"/>
      <c r="B19" s="188" t="s">
        <v>9</v>
      </c>
      <c r="C19" s="189">
        <f>C18</f>
        <v>7.6</v>
      </c>
      <c r="D19" s="189"/>
      <c r="E19" s="188"/>
      <c r="F19" s="188"/>
      <c r="G19" s="205">
        <f>119938796.12</f>
        <v>119938796.12</v>
      </c>
      <c r="H19" s="190">
        <f>H18</f>
        <v>58377630.840000004</v>
      </c>
      <c r="I19" s="190">
        <f>SUM(I18:I18)</f>
        <v>61561165.280000001</v>
      </c>
      <c r="J19" s="239"/>
      <c r="K19" s="244"/>
      <c r="L19" s="172"/>
    </row>
    <row r="20" spans="1:12" ht="15.75" x14ac:dyDescent="0.25">
      <c r="A20" s="184"/>
      <c r="B20" s="191" t="s">
        <v>19</v>
      </c>
      <c r="C20" s="195"/>
      <c r="D20" s="195"/>
      <c r="E20" s="191"/>
      <c r="F20" s="191"/>
      <c r="G20" s="208"/>
      <c r="H20" s="224"/>
      <c r="I20" s="224"/>
      <c r="J20" s="241"/>
      <c r="K20" s="244"/>
      <c r="L20" s="172"/>
    </row>
    <row r="21" spans="1:12" ht="22.5" customHeight="1" x14ac:dyDescent="0.25">
      <c r="A21" s="293">
        <v>4</v>
      </c>
      <c r="B21" s="295" t="s">
        <v>129</v>
      </c>
      <c r="C21" s="297">
        <v>9.1950000000000003</v>
      </c>
      <c r="D21" s="299" t="s">
        <v>65</v>
      </c>
      <c r="E21" s="289" t="s">
        <v>7</v>
      </c>
      <c r="F21" s="289" t="s">
        <v>79</v>
      </c>
      <c r="G21" s="149">
        <v>178000195</v>
      </c>
      <c r="H21" s="220">
        <f>G21*48.6728504274609%</f>
        <v>86637768.670000002</v>
      </c>
      <c r="I21" s="220">
        <f>G21-H21</f>
        <v>91362426.329999998</v>
      </c>
      <c r="J21" s="280" t="s">
        <v>125</v>
      </c>
      <c r="K21" s="286">
        <v>185649488.62</v>
      </c>
      <c r="L21" s="196"/>
    </row>
    <row r="22" spans="1:12" ht="23.25" customHeight="1" x14ac:dyDescent="0.25">
      <c r="A22" s="294"/>
      <c r="B22" s="296"/>
      <c r="C22" s="298"/>
      <c r="D22" s="300"/>
      <c r="E22" s="290"/>
      <c r="F22" s="290"/>
      <c r="G22" s="221">
        <f>G23-G21</f>
        <v>11750201.289999999</v>
      </c>
      <c r="H22" s="222"/>
      <c r="I22" s="222">
        <f>G22</f>
        <v>11750201.289999999</v>
      </c>
      <c r="J22" s="281"/>
      <c r="K22" s="287"/>
      <c r="L22" s="196"/>
    </row>
    <row r="23" spans="1:12" ht="16.5" thickBot="1" x14ac:dyDescent="0.3">
      <c r="A23" s="197"/>
      <c r="B23" s="188" t="s">
        <v>9</v>
      </c>
      <c r="C23" s="189">
        <f>SUM(C21)</f>
        <v>9.1950000000000003</v>
      </c>
      <c r="D23" s="198"/>
      <c r="E23" s="188"/>
      <c r="F23" s="188"/>
      <c r="G23" s="205">
        <f>189750396.29</f>
        <v>189750396.28999999</v>
      </c>
      <c r="H23" s="190">
        <f>H21</f>
        <v>86637768.670000002</v>
      </c>
      <c r="I23" s="190">
        <f>SUM(I21:I22)</f>
        <v>103112627.62</v>
      </c>
      <c r="J23" s="239"/>
      <c r="K23" s="245"/>
      <c r="L23" s="237" t="e">
        <f>I11+I15+#REF!+I22</f>
        <v>#REF!</v>
      </c>
    </row>
    <row r="24" spans="1:12" ht="25.15" customHeight="1" x14ac:dyDescent="0.25">
      <c r="A24" s="199"/>
      <c r="B24" s="200" t="s">
        <v>60</v>
      </c>
      <c r="C24" s="201">
        <f>C12+C16+C19+C23</f>
        <v>57.406999999999996</v>
      </c>
      <c r="D24" s="201"/>
      <c r="E24" s="202"/>
      <c r="F24" s="202"/>
      <c r="G24" s="209">
        <f>G12+G16+G19+G23</f>
        <v>1143998655.1300001</v>
      </c>
      <c r="H24" s="203"/>
      <c r="I24" s="203"/>
      <c r="J24" s="242"/>
      <c r="K24" s="246"/>
      <c r="L24" s="173"/>
    </row>
    <row r="25" spans="1:12" ht="15.75" x14ac:dyDescent="0.25">
      <c r="A25" s="13"/>
      <c r="B25" s="103" t="s">
        <v>62</v>
      </c>
      <c r="C25" s="46">
        <f>C10+5</f>
        <v>37.112000000000002</v>
      </c>
      <c r="D25" s="46"/>
      <c r="E25" s="47"/>
      <c r="F25" s="47"/>
      <c r="G25" s="122">
        <f>G12+((G23*5)/9.195)</f>
        <v>768689040.87</v>
      </c>
      <c r="H25" s="122"/>
      <c r="I25" s="122"/>
      <c r="J25" s="243"/>
      <c r="K25" s="244"/>
      <c r="L25" s="172"/>
    </row>
    <row r="26" spans="1:12" ht="15.75" x14ac:dyDescent="0.25">
      <c r="A26" s="13"/>
      <c r="B26" s="103" t="s">
        <v>58</v>
      </c>
      <c r="C26" s="46">
        <f>C14+C18+4.195</f>
        <v>20.295000000000002</v>
      </c>
      <c r="D26" s="46"/>
      <c r="E26" s="47"/>
      <c r="F26" s="47"/>
      <c r="G26" s="122">
        <f>G16+G19+((G23*4.195)/9.195)</f>
        <v>375309614.25999999</v>
      </c>
      <c r="H26" s="122"/>
      <c r="I26" s="122"/>
      <c r="J26" s="243"/>
      <c r="K26" s="244"/>
      <c r="L26" s="172"/>
    </row>
    <row r="27" spans="1:12" ht="21.6" hidden="1" customHeight="1" x14ac:dyDescent="0.25">
      <c r="A27" s="13"/>
      <c r="B27" s="215" t="s">
        <v>29</v>
      </c>
      <c r="C27" s="46"/>
      <c r="D27" s="46"/>
      <c r="E27" s="47"/>
      <c r="F27" s="47"/>
      <c r="G27" s="116"/>
      <c r="H27" s="116"/>
      <c r="I27" s="116"/>
      <c r="J27" s="243"/>
      <c r="K27" s="244"/>
      <c r="L27" s="172"/>
    </row>
    <row r="28" spans="1:12" ht="15.75" x14ac:dyDescent="0.25">
      <c r="A28" s="13"/>
      <c r="B28" s="215" t="s">
        <v>29</v>
      </c>
      <c r="C28" s="46">
        <f>C24+'[1]Приложение №4 дороги (проч)'!C69</f>
        <v>150.87700000000001</v>
      </c>
      <c r="D28" s="144"/>
      <c r="E28" s="145"/>
      <c r="F28" s="145"/>
      <c r="G28" s="122">
        <f>G24+'Приложение №4 дороги (проч)'!G71</f>
        <v>2586694909.9299998</v>
      </c>
      <c r="H28" s="122"/>
      <c r="I28" s="122"/>
      <c r="J28" s="243"/>
      <c r="K28" s="247"/>
      <c r="L28" s="172"/>
    </row>
    <row r="29" spans="1:12" x14ac:dyDescent="0.25">
      <c r="L29" s="204"/>
    </row>
    <row r="30" spans="1:12" x14ac:dyDescent="0.25">
      <c r="C30" s="288" t="s">
        <v>159</v>
      </c>
      <c r="D30" s="288"/>
      <c r="E30" s="288"/>
      <c r="F30" s="288"/>
      <c r="G30" s="225">
        <v>1106656165.1300001</v>
      </c>
      <c r="H30" s="117">
        <f>H10+I10+H14+I14+H18+I18+H21+I21</f>
        <v>1106656165.1300001</v>
      </c>
      <c r="I30" s="15">
        <f>I11+I15+I22</f>
        <v>37342490</v>
      </c>
    </row>
    <row r="31" spans="1:12" x14ac:dyDescent="0.25">
      <c r="C31" s="288" t="s">
        <v>203</v>
      </c>
      <c r="D31" s="288"/>
      <c r="E31" s="288"/>
      <c r="F31" s="288"/>
      <c r="G31" s="225">
        <v>538641100</v>
      </c>
      <c r="H31" s="117">
        <f>H10+H14+H18+H21</f>
        <v>538641100</v>
      </c>
      <c r="I31" s="117"/>
    </row>
    <row r="34" spans="3:7" x14ac:dyDescent="0.25">
      <c r="C34" s="111"/>
    </row>
    <row r="35" spans="3:7" x14ac:dyDescent="0.25">
      <c r="C35" s="111"/>
      <c r="G35" s="15">
        <f>G24-G30</f>
        <v>37342490</v>
      </c>
    </row>
  </sheetData>
  <mergeCells count="36">
    <mergeCell ref="G1:I1"/>
    <mergeCell ref="A3:I3"/>
    <mergeCell ref="A4:G4"/>
    <mergeCell ref="A7:A8"/>
    <mergeCell ref="B7:B8"/>
    <mergeCell ref="C7:C8"/>
    <mergeCell ref="D7:D8"/>
    <mergeCell ref="E7:F7"/>
    <mergeCell ref="G7:I7"/>
    <mergeCell ref="A14:A15"/>
    <mergeCell ref="B14:B15"/>
    <mergeCell ref="C14:C15"/>
    <mergeCell ref="D14:D15"/>
    <mergeCell ref="E14:E15"/>
    <mergeCell ref="J7:J8"/>
    <mergeCell ref="A10:A11"/>
    <mergeCell ref="B10:B11"/>
    <mergeCell ref="C10:C11"/>
    <mergeCell ref="D10:D11"/>
    <mergeCell ref="E10:E11"/>
    <mergeCell ref="F10:F11"/>
    <mergeCell ref="J10:J11"/>
    <mergeCell ref="C31:F31"/>
    <mergeCell ref="A21:A22"/>
    <mergeCell ref="B21:B22"/>
    <mergeCell ref="C21:C22"/>
    <mergeCell ref="D21:D22"/>
    <mergeCell ref="E21:E22"/>
    <mergeCell ref="F21:F22"/>
    <mergeCell ref="J21:J22"/>
    <mergeCell ref="K10:K11"/>
    <mergeCell ref="K14:K15"/>
    <mergeCell ref="K21:K22"/>
    <mergeCell ref="C30:F30"/>
    <mergeCell ref="F14:F15"/>
    <mergeCell ref="J14:J15"/>
  </mergeCells>
  <pageMargins left="0.7" right="0.7" top="0.75" bottom="0.75" header="0.3" footer="0.3"/>
  <pageSetup paperSize="9" scale="5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view="pageBreakPreview" zoomScaleNormal="100" zoomScaleSheetLayoutView="100" workbookViewId="0">
      <selection activeCell="J18" sqref="J18"/>
    </sheetView>
  </sheetViews>
  <sheetFormatPr defaultColWidth="9.140625" defaultRowHeight="15" x14ac:dyDescent="0.25"/>
  <cols>
    <col min="1" max="1" width="5.5703125" style="1" customWidth="1"/>
    <col min="2" max="2" width="69.5703125" style="1" customWidth="1"/>
    <col min="3" max="3" width="13.28515625" style="1" customWidth="1"/>
    <col min="4" max="4" width="14.28515625" style="1" customWidth="1"/>
    <col min="5" max="5" width="17.28515625" style="1" customWidth="1"/>
    <col min="6" max="6" width="18.85546875" style="17" customWidth="1"/>
    <col min="7" max="7" width="0.140625" style="1" customWidth="1"/>
    <col min="8" max="8" width="6.140625" style="1" customWidth="1"/>
    <col min="9" max="10" width="9.140625" style="1"/>
    <col min="11" max="11" width="10.140625" style="1" bestFit="1" customWidth="1"/>
    <col min="12" max="16384" width="9.140625" style="1"/>
  </cols>
  <sheetData>
    <row r="1" spans="1:7" ht="15.75" x14ac:dyDescent="0.25">
      <c r="F1" s="18" t="s">
        <v>34</v>
      </c>
    </row>
    <row r="3" spans="1:7" ht="66.75" customHeight="1" x14ac:dyDescent="0.25">
      <c r="A3" s="266" t="s">
        <v>216</v>
      </c>
      <c r="B3" s="266"/>
      <c r="C3" s="266"/>
      <c r="D3" s="266"/>
      <c r="E3" s="266"/>
      <c r="F3" s="266"/>
    </row>
    <row r="4" spans="1:7" ht="15" customHeight="1" x14ac:dyDescent="0.25">
      <c r="A4" s="250"/>
      <c r="B4" s="250"/>
      <c r="C4" s="250"/>
      <c r="D4" s="250"/>
      <c r="E4" s="250"/>
      <c r="F4" s="250"/>
    </row>
    <row r="5" spans="1:7" x14ac:dyDescent="0.25">
      <c r="A5" s="269" t="s">
        <v>31</v>
      </c>
      <c r="B5" s="269"/>
      <c r="C5" s="269"/>
      <c r="D5" s="269"/>
      <c r="E5" s="269"/>
      <c r="F5" s="269"/>
    </row>
    <row r="7" spans="1:7" ht="16.5" customHeight="1" x14ac:dyDescent="0.25">
      <c r="A7" s="267" t="s">
        <v>0</v>
      </c>
      <c r="B7" s="267" t="s">
        <v>1</v>
      </c>
      <c r="C7" s="267" t="s">
        <v>27</v>
      </c>
      <c r="D7" s="267" t="s">
        <v>3</v>
      </c>
      <c r="E7" s="267"/>
      <c r="F7" s="268" t="s">
        <v>161</v>
      </c>
      <c r="G7" s="44"/>
    </row>
    <row r="8" spans="1:7" ht="15.75" x14ac:dyDescent="0.25">
      <c r="A8" s="267"/>
      <c r="B8" s="267"/>
      <c r="C8" s="267"/>
      <c r="D8" s="6" t="s">
        <v>4</v>
      </c>
      <c r="E8" s="6" t="s">
        <v>5</v>
      </c>
      <c r="F8" s="268"/>
      <c r="G8" s="44"/>
    </row>
    <row r="9" spans="1:7" ht="15.75" x14ac:dyDescent="0.25">
      <c r="A9" s="128"/>
      <c r="B9" s="3" t="s">
        <v>20</v>
      </c>
      <c r="C9" s="128"/>
      <c r="D9" s="128"/>
      <c r="E9" s="128"/>
      <c r="F9" s="129"/>
      <c r="G9" s="44"/>
    </row>
    <row r="10" spans="1:7" ht="47.25" x14ac:dyDescent="0.25">
      <c r="A10" s="4">
        <v>1</v>
      </c>
      <c r="B10" s="69" t="s">
        <v>201</v>
      </c>
      <c r="C10" s="4">
        <v>22.73</v>
      </c>
      <c r="D10" s="4" t="s">
        <v>141</v>
      </c>
      <c r="E10" s="4" t="s">
        <v>15</v>
      </c>
      <c r="F10" s="165">
        <v>35894300</v>
      </c>
      <c r="G10" s="165">
        <v>23842800</v>
      </c>
    </row>
    <row r="11" spans="1:7" ht="15.75" x14ac:dyDescent="0.25">
      <c r="A11" s="128"/>
      <c r="B11" s="3" t="s">
        <v>37</v>
      </c>
      <c r="C11" s="128">
        <f>C10</f>
        <v>22.73</v>
      </c>
      <c r="D11" s="128"/>
      <c r="E11" s="128"/>
      <c r="F11" s="126">
        <f>F10</f>
        <v>35894300</v>
      </c>
      <c r="G11" s="165"/>
    </row>
    <row r="12" spans="1:7" ht="15.75" x14ac:dyDescent="0.25">
      <c r="A12" s="2"/>
      <c r="B12" s="3" t="s">
        <v>26</v>
      </c>
      <c r="C12" s="21"/>
      <c r="D12" s="2"/>
      <c r="E12" s="2"/>
      <c r="F12" s="2"/>
      <c r="G12" s="165"/>
    </row>
    <row r="13" spans="1:7" s="16" customFormat="1" ht="47.25" x14ac:dyDescent="0.25">
      <c r="A13" s="4">
        <v>2</v>
      </c>
      <c r="B13" s="69" t="s">
        <v>147</v>
      </c>
      <c r="C13" s="131">
        <v>21.86</v>
      </c>
      <c r="D13" s="4" t="s">
        <v>126</v>
      </c>
      <c r="E13" s="4" t="s">
        <v>15</v>
      </c>
      <c r="F13" s="166">
        <f>25473800-2290500</f>
        <v>23183300</v>
      </c>
      <c r="G13" s="165">
        <v>22679480</v>
      </c>
    </row>
    <row r="14" spans="1:7" ht="15.75" x14ac:dyDescent="0.25">
      <c r="A14" s="2"/>
      <c r="B14" s="3" t="s">
        <v>37</v>
      </c>
      <c r="C14" s="20">
        <f>C13</f>
        <v>21.86</v>
      </c>
      <c r="D14" s="3"/>
      <c r="E14" s="3"/>
      <c r="F14" s="126">
        <f>F13</f>
        <v>23183300</v>
      </c>
      <c r="G14" s="165"/>
    </row>
    <row r="15" spans="1:7" ht="15.75" x14ac:dyDescent="0.25">
      <c r="A15" s="2"/>
      <c r="B15" s="3" t="s">
        <v>16</v>
      </c>
      <c r="C15" s="21"/>
      <c r="D15" s="2"/>
      <c r="E15" s="2"/>
      <c r="F15" s="2"/>
      <c r="G15" s="165"/>
    </row>
    <row r="16" spans="1:7" s="16" customFormat="1" ht="45.75" customHeight="1" x14ac:dyDescent="0.25">
      <c r="A16" s="4">
        <v>3</v>
      </c>
      <c r="B16" s="19" t="s">
        <v>127</v>
      </c>
      <c r="C16" s="131">
        <v>6.6</v>
      </c>
      <c r="D16" s="4" t="s">
        <v>141</v>
      </c>
      <c r="E16" s="4" t="s">
        <v>15</v>
      </c>
      <c r="F16" s="166">
        <f>26703.59*1000</f>
        <v>26703590</v>
      </c>
      <c r="G16" s="165"/>
    </row>
    <row r="17" spans="1:7" ht="15.75" x14ac:dyDescent="0.25">
      <c r="A17" s="2"/>
      <c r="B17" s="3" t="s">
        <v>37</v>
      </c>
      <c r="C17" s="20">
        <f>C16</f>
        <v>6.6</v>
      </c>
      <c r="D17" s="2"/>
      <c r="E17" s="2"/>
      <c r="F17" s="126">
        <f>F16</f>
        <v>26703590</v>
      </c>
      <c r="G17" s="165"/>
    </row>
    <row r="18" spans="1:7" s="16" customFormat="1" ht="29.45" customHeight="1" x14ac:dyDescent="0.25">
      <c r="A18" s="22"/>
      <c r="B18" s="23" t="s">
        <v>38</v>
      </c>
      <c r="C18" s="134">
        <f>C11+C14+C17</f>
        <v>51.19</v>
      </c>
      <c r="D18" s="23"/>
      <c r="E18" s="23"/>
      <c r="F18" s="126">
        <f>F11+F14+F17</f>
        <v>85781190</v>
      </c>
      <c r="G18" s="165"/>
    </row>
  </sheetData>
  <mergeCells count="7">
    <mergeCell ref="A3:F3"/>
    <mergeCell ref="A5:F5"/>
    <mergeCell ref="A7:A8"/>
    <mergeCell ref="B7:B8"/>
    <mergeCell ref="C7:C8"/>
    <mergeCell ref="D7:E7"/>
    <mergeCell ref="F7:F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Normal="100" zoomScaleSheetLayoutView="100" workbookViewId="0">
      <selection activeCell="E26" sqref="E26"/>
    </sheetView>
  </sheetViews>
  <sheetFormatPr defaultRowHeight="15" x14ac:dyDescent="0.25"/>
  <cols>
    <col min="1" max="1" width="38" customWidth="1"/>
    <col min="2" max="2" width="31.42578125" style="110" customWidth="1"/>
    <col min="4" max="7" width="24.28515625" style="112" customWidth="1"/>
  </cols>
  <sheetData>
    <row r="1" spans="1:2" ht="15.75" x14ac:dyDescent="0.25">
      <c r="A1" s="311" t="s">
        <v>88</v>
      </c>
      <c r="B1" s="311"/>
    </row>
    <row r="3" spans="1:2" ht="15.75" customHeight="1" x14ac:dyDescent="0.25">
      <c r="A3" s="266" t="s">
        <v>130</v>
      </c>
      <c r="B3" s="266"/>
    </row>
    <row r="4" spans="1:2" ht="43.5" customHeight="1" thickBot="1" x14ac:dyDescent="0.3">
      <c r="A4" s="312"/>
      <c r="B4" s="312"/>
    </row>
    <row r="5" spans="1:2" ht="32.25" thickBot="1" x14ac:dyDescent="0.3">
      <c r="A5" s="107" t="s">
        <v>68</v>
      </c>
      <c r="B5" s="108" t="s">
        <v>164</v>
      </c>
    </row>
    <row r="6" spans="1:2" ht="16.5" thickBot="1" x14ac:dyDescent="0.3">
      <c r="A6" s="139" t="s">
        <v>84</v>
      </c>
      <c r="B6" s="177">
        <v>96000000</v>
      </c>
    </row>
    <row r="7" spans="1:2" ht="16.5" thickBot="1" x14ac:dyDescent="0.3">
      <c r="A7" s="139" t="s">
        <v>6</v>
      </c>
      <c r="B7" s="177">
        <v>50000000</v>
      </c>
    </row>
    <row r="8" spans="1:2" ht="16.5" thickBot="1" x14ac:dyDescent="0.3">
      <c r="A8" s="139" t="s">
        <v>20</v>
      </c>
      <c r="B8" s="177">
        <v>120000000</v>
      </c>
    </row>
    <row r="9" spans="1:2" ht="16.5" thickBot="1" x14ac:dyDescent="0.3">
      <c r="A9" s="139" t="s">
        <v>10</v>
      </c>
      <c r="B9" s="177">
        <v>86000000</v>
      </c>
    </row>
    <row r="10" spans="1:2" ht="16.5" thickBot="1" x14ac:dyDescent="0.3">
      <c r="A10" s="139" t="s">
        <v>11</v>
      </c>
      <c r="B10" s="177">
        <v>95000000</v>
      </c>
    </row>
    <row r="11" spans="1:2" ht="16.5" thickBot="1" x14ac:dyDescent="0.3">
      <c r="A11" s="139" t="s">
        <v>12</v>
      </c>
      <c r="B11" s="177">
        <v>65000000</v>
      </c>
    </row>
    <row r="12" spans="1:2" ht="16.5" thickBot="1" x14ac:dyDescent="0.3">
      <c r="A12" s="139" t="s">
        <v>13</v>
      </c>
      <c r="B12" s="177">
        <v>65000000</v>
      </c>
    </row>
    <row r="13" spans="1:2" ht="16.5" thickBot="1" x14ac:dyDescent="0.3">
      <c r="A13" s="139" t="s">
        <v>85</v>
      </c>
      <c r="B13" s="177">
        <v>130000000</v>
      </c>
    </row>
    <row r="14" spans="1:2" ht="16.5" thickBot="1" x14ac:dyDescent="0.3">
      <c r="A14" s="139" t="s">
        <v>69</v>
      </c>
      <c r="B14" s="177">
        <v>105000000</v>
      </c>
    </row>
    <row r="15" spans="1:2" ht="16.5" thickBot="1" x14ac:dyDescent="0.3">
      <c r="A15" s="139" t="s">
        <v>14</v>
      </c>
      <c r="B15" s="177">
        <v>65000000</v>
      </c>
    </row>
    <row r="16" spans="1:2" ht="16.5" thickBot="1" x14ac:dyDescent="0.3">
      <c r="A16" s="139" t="s">
        <v>70</v>
      </c>
      <c r="B16" s="177">
        <v>130000000</v>
      </c>
    </row>
    <row r="17" spans="1:7" ht="16.5" thickBot="1" x14ac:dyDescent="0.3">
      <c r="A17" s="139" t="s">
        <v>26</v>
      </c>
      <c r="B17" s="177">
        <v>150000000</v>
      </c>
    </row>
    <row r="18" spans="1:7" ht="16.5" thickBot="1" x14ac:dyDescent="0.3">
      <c r="A18" s="140" t="s">
        <v>71</v>
      </c>
      <c r="B18" s="178">
        <v>105000000</v>
      </c>
    </row>
    <row r="19" spans="1:7" ht="16.5" thickBot="1" x14ac:dyDescent="0.3">
      <c r="A19" s="141" t="s">
        <v>155</v>
      </c>
      <c r="B19" s="179">
        <v>174000000</v>
      </c>
    </row>
    <row r="20" spans="1:7" ht="16.5" thickBot="1" x14ac:dyDescent="0.3">
      <c r="A20" s="139" t="s">
        <v>86</v>
      </c>
      <c r="B20" s="179">
        <v>192182845.31999999</v>
      </c>
    </row>
    <row r="21" spans="1:7" ht="16.5" thickBot="1" x14ac:dyDescent="0.3">
      <c r="A21" s="139" t="s">
        <v>21</v>
      </c>
      <c r="B21" s="177">
        <v>152000000</v>
      </c>
    </row>
    <row r="22" spans="1:7" ht="16.5" thickBot="1" x14ac:dyDescent="0.3">
      <c r="A22" s="139" t="s">
        <v>22</v>
      </c>
      <c r="B22" s="177">
        <v>62000000</v>
      </c>
    </row>
    <row r="23" spans="1:7" ht="16.5" thickBot="1" x14ac:dyDescent="0.3">
      <c r="A23" s="139" t="s">
        <v>16</v>
      </c>
      <c r="B23" s="177">
        <v>84000000</v>
      </c>
    </row>
    <row r="24" spans="1:7" ht="16.5" thickBot="1" x14ac:dyDescent="0.3">
      <c r="A24" s="139" t="s">
        <v>72</v>
      </c>
      <c r="B24" s="177">
        <v>159000000</v>
      </c>
    </row>
    <row r="25" spans="1:7" ht="16.5" thickBot="1" x14ac:dyDescent="0.3">
      <c r="A25" s="139" t="s">
        <v>17</v>
      </c>
      <c r="B25" s="177">
        <v>151000000</v>
      </c>
    </row>
    <row r="26" spans="1:7" ht="16.5" thickBot="1" x14ac:dyDescent="0.3">
      <c r="A26" s="139" t="s">
        <v>18</v>
      </c>
      <c r="B26" s="177">
        <v>92000000</v>
      </c>
    </row>
    <row r="27" spans="1:7" ht="16.5" thickBot="1" x14ac:dyDescent="0.3">
      <c r="A27" s="139" t="s">
        <v>23</v>
      </c>
      <c r="B27" s="177">
        <v>143000000</v>
      </c>
    </row>
    <row r="28" spans="1:7" ht="17.25" customHeight="1" thickBot="1" x14ac:dyDescent="0.35">
      <c r="A28" s="139" t="s">
        <v>19</v>
      </c>
      <c r="B28" s="177">
        <v>83000000</v>
      </c>
      <c r="D28" s="113"/>
      <c r="E28" s="113"/>
      <c r="F28" s="113"/>
      <c r="G28" s="113"/>
    </row>
    <row r="29" spans="1:7" ht="19.5" thickBot="1" x14ac:dyDescent="0.35">
      <c r="A29" s="109" t="s">
        <v>33</v>
      </c>
      <c r="B29" s="176">
        <f>SUM(B6:B28)</f>
        <v>2554182845.3200002</v>
      </c>
      <c r="E29" s="113"/>
      <c r="F29" s="113"/>
      <c r="G29" s="113"/>
    </row>
    <row r="30" spans="1:7" ht="18.75" x14ac:dyDescent="0.3">
      <c r="D30" s="113"/>
      <c r="E30" s="113"/>
      <c r="F30" s="113"/>
      <c r="G30" s="113"/>
    </row>
    <row r="31" spans="1:7" ht="18.75" x14ac:dyDescent="0.3">
      <c r="B31" s="113"/>
    </row>
  </sheetData>
  <mergeCells count="2">
    <mergeCell ref="A1:B1"/>
    <mergeCell ref="A3:B4"/>
  </mergeCells>
  <pageMargins left="0.70866141732283472" right="0.70866141732283472" top="0.74803149606299213" bottom="0.74803149606299213" header="0.31496062992125984" footer="0.31496062992125984"/>
  <pageSetup paperSize="9" scale="12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K20" sqref="K20"/>
    </sheetView>
  </sheetViews>
  <sheetFormatPr defaultRowHeight="15" x14ac:dyDescent="0.25"/>
  <cols>
    <col min="1" max="1" width="38.28515625" customWidth="1"/>
    <col min="2" max="2" width="38" customWidth="1"/>
  </cols>
  <sheetData>
    <row r="1" spans="1:2" ht="15.75" x14ac:dyDescent="0.25">
      <c r="A1" s="311" t="s">
        <v>148</v>
      </c>
      <c r="B1" s="311"/>
    </row>
    <row r="2" spans="1:2" x14ac:dyDescent="0.25">
      <c r="B2" s="110"/>
    </row>
    <row r="3" spans="1:2" x14ac:dyDescent="0.25">
      <c r="A3" s="266" t="s">
        <v>149</v>
      </c>
      <c r="B3" s="266"/>
    </row>
    <row r="4" spans="1:2" ht="33.75" customHeight="1" thickBot="1" x14ac:dyDescent="0.3">
      <c r="A4" s="312"/>
      <c r="B4" s="312"/>
    </row>
    <row r="5" spans="1:2" ht="32.25" thickBot="1" x14ac:dyDescent="0.3">
      <c r="A5" s="107" t="s">
        <v>68</v>
      </c>
      <c r="B5" s="108" t="s">
        <v>164</v>
      </c>
    </row>
    <row r="6" spans="1:2" ht="16.5" thickBot="1" x14ac:dyDescent="0.3">
      <c r="A6" s="139" t="s">
        <v>6</v>
      </c>
      <c r="B6" s="177">
        <v>24081497.539999999</v>
      </c>
    </row>
    <row r="7" spans="1:2" ht="16.5" thickBot="1" x14ac:dyDescent="0.3">
      <c r="A7" s="109" t="s">
        <v>33</v>
      </c>
      <c r="B7" s="210">
        <f>B6</f>
        <v>24081497.539999999</v>
      </c>
    </row>
  </sheetData>
  <mergeCells count="2">
    <mergeCell ref="A1:B1"/>
    <mergeCell ref="A3:B4"/>
  </mergeCells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F27"/>
  <sheetViews>
    <sheetView topLeftCell="A16" workbookViewId="0">
      <selection activeCell="E27" sqref="E27"/>
    </sheetView>
  </sheetViews>
  <sheetFormatPr defaultRowHeight="15" x14ac:dyDescent="0.25"/>
  <cols>
    <col min="1" max="1" width="63.85546875" customWidth="1"/>
    <col min="2" max="2" width="18.85546875" customWidth="1"/>
    <col min="3" max="3" width="20.5703125" customWidth="1"/>
  </cols>
  <sheetData>
    <row r="5" spans="1:6" ht="15.75" x14ac:dyDescent="0.25">
      <c r="A5" s="28" t="s">
        <v>43</v>
      </c>
      <c r="B5" s="28" t="s">
        <v>2</v>
      </c>
      <c r="C5" s="28" t="s">
        <v>44</v>
      </c>
    </row>
    <row r="6" spans="1:6" x14ac:dyDescent="0.25">
      <c r="A6" s="29"/>
      <c r="B6" s="29"/>
      <c r="C6" s="29"/>
    </row>
    <row r="7" spans="1:6" ht="45" x14ac:dyDescent="0.25">
      <c r="A7" s="30" t="s">
        <v>45</v>
      </c>
      <c r="B7" s="36">
        <f>B9+B11</f>
        <v>50.848999999999997</v>
      </c>
      <c r="C7" s="37">
        <f>C9+C11</f>
        <v>134055.6</v>
      </c>
      <c r="D7" s="26"/>
      <c r="E7" s="26"/>
      <c r="F7" s="26"/>
    </row>
    <row r="8" spans="1:6" ht="15.75" x14ac:dyDescent="0.25">
      <c r="A8" s="29"/>
      <c r="B8" s="35"/>
      <c r="C8" s="38"/>
    </row>
    <row r="9" spans="1:6" ht="45" x14ac:dyDescent="0.25">
      <c r="A9" s="31" t="s">
        <v>42</v>
      </c>
      <c r="B9" s="34">
        <v>50.848999999999997</v>
      </c>
      <c r="C9" s="39">
        <v>119055.6</v>
      </c>
      <c r="D9" s="26"/>
      <c r="E9" s="26"/>
      <c r="F9" s="26"/>
    </row>
    <row r="10" spans="1:6" ht="15.75" x14ac:dyDescent="0.25">
      <c r="A10" s="32"/>
      <c r="B10" s="35"/>
      <c r="C10" s="38"/>
    </row>
    <row r="11" spans="1:6" ht="60" x14ac:dyDescent="0.25">
      <c r="A11" s="31" t="s">
        <v>35</v>
      </c>
      <c r="B11" s="35"/>
      <c r="C11" s="38">
        <v>15000</v>
      </c>
    </row>
    <row r="12" spans="1:6" ht="15.75" x14ac:dyDescent="0.25">
      <c r="A12" s="29"/>
      <c r="B12" s="35"/>
      <c r="C12" s="38"/>
    </row>
    <row r="13" spans="1:6" ht="105" x14ac:dyDescent="0.25">
      <c r="A13" s="30" t="s">
        <v>36</v>
      </c>
      <c r="B13" s="36">
        <v>126.37</v>
      </c>
      <c r="C13" s="37">
        <v>1342696.9</v>
      </c>
      <c r="D13" s="27"/>
      <c r="E13" s="27"/>
      <c r="F13" s="27"/>
    </row>
    <row r="14" spans="1:6" ht="15.75" x14ac:dyDescent="0.25">
      <c r="A14" s="29"/>
      <c r="B14" s="35"/>
      <c r="C14" s="38"/>
    </row>
    <row r="15" spans="1:6" ht="60" x14ac:dyDescent="0.25">
      <c r="A15" s="30" t="s">
        <v>41</v>
      </c>
      <c r="B15" s="36">
        <v>91.537000000000006</v>
      </c>
      <c r="C15" s="37">
        <v>975657.6</v>
      </c>
      <c r="D15" s="27"/>
      <c r="E15" s="27"/>
      <c r="F15" s="27"/>
    </row>
    <row r="16" spans="1:6" ht="15.75" x14ac:dyDescent="0.25">
      <c r="A16" s="29"/>
      <c r="B16" s="35"/>
      <c r="C16" s="38"/>
    </row>
    <row r="17" spans="1:6" ht="105" x14ac:dyDescent="0.25">
      <c r="A17" s="30" t="s">
        <v>39</v>
      </c>
      <c r="B17" s="36" t="s">
        <v>40</v>
      </c>
      <c r="C17" s="37">
        <v>101751.4</v>
      </c>
      <c r="D17" s="27"/>
      <c r="E17" s="27"/>
      <c r="F17" s="27"/>
    </row>
    <row r="18" spans="1:6" ht="15.75" x14ac:dyDescent="0.25">
      <c r="A18" s="29"/>
      <c r="B18" s="35"/>
      <c r="C18" s="38"/>
    </row>
    <row r="19" spans="1:6" ht="45" x14ac:dyDescent="0.25">
      <c r="A19" s="30" t="s">
        <v>32</v>
      </c>
      <c r="B19" s="36">
        <v>4321.8339999999998</v>
      </c>
      <c r="C19" s="40">
        <v>938954.7</v>
      </c>
    </row>
    <row r="20" spans="1:6" ht="15.75" x14ac:dyDescent="0.25">
      <c r="A20" s="30" t="s">
        <v>48</v>
      </c>
      <c r="B20" s="36"/>
      <c r="C20" s="40">
        <v>230500</v>
      </c>
    </row>
    <row r="21" spans="1:6" x14ac:dyDescent="0.25">
      <c r="A21" s="41" t="s">
        <v>33</v>
      </c>
      <c r="B21" s="29"/>
      <c r="C21" s="40">
        <f>C7+C13+C15+C17+C19+C20</f>
        <v>3723616.2</v>
      </c>
    </row>
    <row r="22" spans="1:6" x14ac:dyDescent="0.25">
      <c r="A22" s="42" t="s">
        <v>46</v>
      </c>
      <c r="B22" s="33">
        <f>B13+B15</f>
        <v>217.90700000000001</v>
      </c>
      <c r="C22" s="38">
        <f>C13+C15+C17</f>
        <v>2420105.9</v>
      </c>
    </row>
    <row r="23" spans="1:6" x14ac:dyDescent="0.25">
      <c r="A23" s="42" t="s">
        <v>47</v>
      </c>
      <c r="B23" s="33">
        <f>B9</f>
        <v>50.848999999999997</v>
      </c>
      <c r="C23" s="38">
        <f>C7</f>
        <v>134055.6</v>
      </c>
    </row>
    <row r="24" spans="1:6" x14ac:dyDescent="0.25">
      <c r="A24" s="42" t="s">
        <v>49</v>
      </c>
      <c r="B24" s="33">
        <f>B19</f>
        <v>4321.8339999999998</v>
      </c>
      <c r="C24" s="38">
        <f>C19</f>
        <v>938954.7</v>
      </c>
    </row>
    <row r="25" spans="1:6" x14ac:dyDescent="0.25">
      <c r="A25" s="42" t="s">
        <v>50</v>
      </c>
      <c r="B25" s="29"/>
      <c r="C25" s="38">
        <v>230500</v>
      </c>
    </row>
    <row r="26" spans="1:6" x14ac:dyDescent="0.25">
      <c r="B26">
        <v>278.40699999999998</v>
      </c>
      <c r="C26" s="38">
        <v>2976415.4</v>
      </c>
    </row>
    <row r="27" spans="1:6" x14ac:dyDescent="0.25">
      <c r="B27">
        <f>B26-B22</f>
        <v>60.5</v>
      </c>
      <c r="C27" s="43">
        <f>C26-2318354.5</f>
        <v>658060.9</v>
      </c>
      <c r="D27" s="38">
        <f>C27/B27</f>
        <v>10877.04</v>
      </c>
    </row>
  </sheetData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Приложение №2 кап.рем</vt:lpstr>
      <vt:lpstr>Приложение №3 Освещение  </vt:lpstr>
      <vt:lpstr>Приложение №4 дороги (проч)</vt:lpstr>
      <vt:lpstr>Приложение №5 дороги (рег п)</vt:lpstr>
      <vt:lpstr>Приложение №6 мосты</vt:lpstr>
      <vt:lpstr>Приложение №7 содержание  </vt:lpstr>
      <vt:lpstr>Приложение №8 содержание</vt:lpstr>
      <vt:lpstr>Свод</vt:lpstr>
      <vt:lpstr>'Приложение №5 дороги (рег п)'!_Hlk499220623</vt:lpstr>
      <vt:lpstr>'Приложение №4 дороги (проч)'!OLE_LINK123</vt:lpstr>
      <vt:lpstr>'Приложение №4 дороги (проч)'!OLE_LINK20</vt:lpstr>
      <vt:lpstr>'Приложение №5 дороги (рег п)'!OLE_LINK54</vt:lpstr>
      <vt:lpstr>'Приложение №4 дороги (проч)'!Область_печати</vt:lpstr>
      <vt:lpstr>'Приложение №5 дороги (рег п)'!Область_печати</vt:lpstr>
      <vt:lpstr>'Приложение №6 мосты'!Область_печати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Gerdev.Nikolay</dc:creator>
  <cp:lastModifiedBy>Администратор</cp:lastModifiedBy>
  <cp:lastPrinted>2022-09-02T09:00:20Z</cp:lastPrinted>
  <dcterms:created xsi:type="dcterms:W3CDTF">2019-03-29T13:12:52Z</dcterms:created>
  <dcterms:modified xsi:type="dcterms:W3CDTF">2022-10-11T06:38:54Z</dcterms:modified>
</cp:coreProperties>
</file>